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12255" tabRatio="899" firstSheet="2" activeTab="11"/>
  </bookViews>
  <sheets>
    <sheet name="пр к пасп" sheetId="2" state="hidden" r:id="rId1"/>
    <sheet name="пр к пасп ПП1" sheetId="7" state="hidden" r:id="rId2"/>
    <sheet name="пр к ПП1" sheetId="8" r:id="rId3"/>
    <sheet name="+ пр к пасп ПП2" sheetId="18" state="hidden" r:id="rId4"/>
    <sheet name="+ пр к ПП2" sheetId="15" r:id="rId5"/>
    <sheet name="+ пр к пасп ПП3" sheetId="19" state="hidden" r:id="rId6"/>
    <sheet name="+пр к ПП3" sheetId="16" state="hidden" r:id="rId7"/>
    <sheet name="+пр к пасп ПП4" sheetId="20" state="hidden" r:id="rId8"/>
    <sheet name="+пр к ПП4" sheetId="17" r:id="rId9"/>
    <sheet name="пр 5 к МП" sheetId="3" state="hidden" r:id="rId10"/>
    <sheet name="+ Приложение 6" sheetId="5" r:id="rId11"/>
    <sheet name="+ Приложение 7" sheetId="6" r:id="rId12"/>
    <sheet name="Лист2" sheetId="27" state="hidden" r:id="rId13"/>
    <sheet name="Лист1" sheetId="26" state="hidden" r:id="rId14"/>
    <sheet name="пп1" sheetId="22" state="hidden" r:id="rId15"/>
    <sheet name="пп2" sheetId="21" state="hidden" r:id="rId16"/>
    <sheet name="пп3" sheetId="24" state="hidden" r:id="rId17"/>
    <sheet name="пп4" sheetId="25" state="hidden" r:id="rId18"/>
  </sheets>
  <externalReferences>
    <externalReference r:id="rId19"/>
  </externalReferences>
  <definedNames>
    <definedName name="_xlnm._FilterDatabase" localSheetId="4" hidden="1">'+ пр к ПП2'!$A$10:$O$17</definedName>
    <definedName name="_xlnm._FilterDatabase" localSheetId="6" hidden="1">'+пр к ПП3'!$A$10:$O$14</definedName>
    <definedName name="_xlnm._FilterDatabase" localSheetId="8" hidden="1">'+пр к ПП4'!$A$10:$O$14</definedName>
    <definedName name="_xlnm._FilterDatabase" localSheetId="2" hidden="1">'пр к ПП1'!$A$10:$O$22</definedName>
    <definedName name="_xlnm.Print_Titles" localSheetId="3">'+ пр к пасп ПП2'!$10:$12</definedName>
    <definedName name="_xlnm.Print_Titles" localSheetId="5">'+ пр к пасп ПП3'!$10:$12</definedName>
    <definedName name="_xlnm.Print_Titles" localSheetId="10">'+ Приложение 6'!$12:$14</definedName>
    <definedName name="_xlnm.Print_Titles" localSheetId="11">'+ Приложение 7'!$12:$14</definedName>
    <definedName name="_xlnm.Print_Titles" localSheetId="7">'+пр к пасп ПП4'!$7:$9</definedName>
    <definedName name="_xlnm.Print_Titles" localSheetId="6">'+пр к ПП3'!$10:$11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2">'пр к ПП1'!$10:$12</definedName>
    <definedName name="_xlnm.Print_Area" localSheetId="3">'+ пр к пасп ПП2'!$A$1:$J$35</definedName>
    <definedName name="_xlnm.Print_Area" localSheetId="5">'+ пр к пасп ПП3'!$A$1:$N$18</definedName>
    <definedName name="_xlnm.Print_Area" localSheetId="4">'+ пр к ПП2'!$A$1:$O$50</definedName>
    <definedName name="_xlnm.Print_Area" localSheetId="10">'+ Приложение 6'!$A$1:$M$37</definedName>
    <definedName name="_xlnm.Print_Area" localSheetId="11">'+ Приложение 7'!$A$1:$U$49</definedName>
    <definedName name="_xlnm.Print_Area" localSheetId="6">'+пр к ПП3'!$A$1:$O$26</definedName>
    <definedName name="_xlnm.Print_Area" localSheetId="8">'+пр к ПП4'!$A$1:$O$27</definedName>
    <definedName name="_xlnm.Print_Area" localSheetId="9">'пр 5 к МП'!$A$1:$E$35</definedName>
    <definedName name="_xlnm.Print_Area" localSheetId="0">'пр к пасп'!$A$1:$T$29</definedName>
    <definedName name="_xlnm.Print_Area" localSheetId="1">'пр к пасп ПП1'!$A$4:$J$18</definedName>
    <definedName name="_xlnm.Print_Area" localSheetId="2">'пр к ПП1'!$A$1:$O$35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6" i="6"/>
  <c r="P47"/>
  <c r="J37" i="5"/>
  <c r="J36"/>
  <c r="K24" i="17"/>
  <c r="K23"/>
  <c r="K22"/>
  <c r="K21"/>
  <c r="L18" i="8"/>
  <c r="M18"/>
  <c r="K18"/>
  <c r="K50" i="15"/>
  <c r="N15"/>
  <c r="B20" i="27" l="1"/>
  <c r="I26" i="16"/>
  <c r="I35" i="8"/>
  <c r="J30"/>
  <c r="J21"/>
  <c r="J18"/>
  <c r="J16"/>
  <c r="J35"/>
  <c r="J25" i="17"/>
  <c r="U16" i="6" l="1"/>
  <c r="U23"/>
  <c r="U24"/>
  <c r="U27"/>
  <c r="U28"/>
  <c r="U30"/>
  <c r="U31"/>
  <c r="U32"/>
  <c r="U34"/>
  <c r="U35"/>
  <c r="U37"/>
  <c r="U38"/>
  <c r="U41"/>
  <c r="U42"/>
  <c r="U44"/>
  <c r="U45"/>
  <c r="U48"/>
  <c r="U49"/>
  <c r="M26" i="17" l="1"/>
  <c r="L25"/>
  <c r="K25"/>
  <c r="N25" s="1"/>
  <c r="I25"/>
  <c r="J23"/>
  <c r="J21"/>
  <c r="P14" i="6" l="1"/>
  <c r="K14" i="5"/>
  <c r="M14" s="1"/>
  <c r="L14"/>
  <c r="J14"/>
  <c r="R17" i="6"/>
  <c r="R20"/>
  <c r="R21"/>
  <c r="J20" i="5"/>
  <c r="K20"/>
  <c r="L20"/>
  <c r="M20"/>
  <c r="J28"/>
  <c r="K28"/>
  <c r="L28"/>
  <c r="J29"/>
  <c r="K29"/>
  <c r="L29"/>
  <c r="I29"/>
  <c r="I28"/>
  <c r="K23"/>
  <c r="L23"/>
  <c r="L18" s="1"/>
  <c r="I23"/>
  <c r="M25" i="16"/>
  <c r="M26" s="1"/>
  <c r="M23"/>
  <c r="M21"/>
  <c r="M19"/>
  <c r="N20"/>
  <c r="N18"/>
  <c r="M17"/>
  <c r="N16"/>
  <c r="N15"/>
  <c r="B45" i="15" l="1"/>
  <c r="K30" i="8"/>
  <c r="K23"/>
  <c r="K16"/>
  <c r="N22"/>
  <c r="N20"/>
  <c r="M17"/>
  <c r="N17" s="1"/>
  <c r="Q26" i="6"/>
  <c r="K21" i="8" l="1"/>
  <c r="K35" s="1"/>
  <c r="P26" i="6"/>
  <c r="J23" i="5"/>
  <c r="M29" i="8"/>
  <c r="N29"/>
  <c r="N19"/>
  <c r="M23" i="5" s="1"/>
  <c r="R40" i="6"/>
  <c r="R46"/>
  <c r="R47"/>
  <c r="N27" i="15"/>
  <c r="N17"/>
  <c r="R43" i="6" l="1"/>
  <c r="J24" i="5"/>
  <c r="J19" s="1"/>
  <c r="J17" i="7"/>
  <c r="J18"/>
  <c r="R19" i="2"/>
  <c r="Q19"/>
  <c r="A13" i="18"/>
  <c r="N18" i="17"/>
  <c r="N17"/>
  <c r="M16"/>
  <c r="L36" i="5"/>
  <c r="L34" s="1"/>
  <c r="R34" s="1"/>
  <c r="M49" i="15"/>
  <c r="M43"/>
  <c r="M40"/>
  <c r="M37"/>
  <c r="M34"/>
  <c r="M23"/>
  <c r="M25"/>
  <c r="N48" l="1"/>
  <c r="N45"/>
  <c r="N33"/>
  <c r="N30"/>
  <c r="M46"/>
  <c r="M31"/>
  <c r="M28"/>
  <c r="M18"/>
  <c r="M50" s="1"/>
  <c r="M16"/>
  <c r="L27" i="5" l="1"/>
  <c r="R33" i="6"/>
  <c r="R29" s="1"/>
  <c r="L11" i="8"/>
  <c r="L17" i="5" l="1"/>
  <c r="L25"/>
  <c r="R25" s="1"/>
  <c r="K16" i="19"/>
  <c r="L16"/>
  <c r="M16"/>
  <c r="N16"/>
  <c r="J16"/>
  <c r="F16" i="18"/>
  <c r="G15"/>
  <c r="F15"/>
  <c r="O23" i="2"/>
  <c r="G16" i="18" s="1"/>
  <c r="P23" i="2" l="1"/>
  <c r="P22"/>
  <c r="H15" i="18" s="1"/>
  <c r="N19" i="2"/>
  <c r="O19"/>
  <c r="P19"/>
  <c r="S19"/>
  <c r="T19"/>
  <c r="M19"/>
  <c r="Q22" l="1"/>
  <c r="R22" s="1"/>
  <c r="S22"/>
  <c r="I15" i="18"/>
  <c r="Q23" i="2"/>
  <c r="R23" s="1"/>
  <c r="H16" i="18"/>
  <c r="K17" i="19"/>
  <c r="K15" s="1"/>
  <c r="L17"/>
  <c r="L15" s="1"/>
  <c r="M17"/>
  <c r="M15" s="1"/>
  <c r="N17"/>
  <c r="J17"/>
  <c r="J15" s="1"/>
  <c r="R21" i="2" l="1"/>
  <c r="S23"/>
  <c r="I16" i="18"/>
  <c r="Q21" i="2"/>
  <c r="T22"/>
  <c r="J15" i="18"/>
  <c r="S21" i="2"/>
  <c r="L49" i="15"/>
  <c r="K49"/>
  <c r="J49"/>
  <c r="J50" s="1"/>
  <c r="I49"/>
  <c r="N49" l="1"/>
  <c r="T23" i="2"/>
  <c r="J16" i="18"/>
  <c r="I17" i="15"/>
  <c r="I17" i="8"/>
  <c r="I15"/>
  <c r="I19" i="17"/>
  <c r="M15" i="8" l="1"/>
  <c r="R26" i="6" l="1"/>
  <c r="R19" s="1"/>
  <c r="N15" i="8"/>
  <c r="M23" i="2"/>
  <c r="E17" i="19" l="1"/>
  <c r="E15" s="1"/>
  <c r="F17"/>
  <c r="F15" s="1"/>
  <c r="G17"/>
  <c r="G15" s="1"/>
  <c r="H17"/>
  <c r="H15" s="1"/>
  <c r="I17"/>
  <c r="G12" i="7" l="1"/>
  <c r="H12" s="1"/>
  <c r="I12" s="1"/>
  <c r="H21" i="2" l="1"/>
  <c r="F19"/>
  <c r="G19"/>
  <c r="H19"/>
  <c r="I19"/>
  <c r="J19"/>
  <c r="L19"/>
  <c r="K18"/>
  <c r="K19" s="1"/>
  <c r="I16" i="17"/>
  <c r="I26" s="1"/>
  <c r="J11"/>
  <c r="I25" i="16"/>
  <c r="L25"/>
  <c r="K25"/>
  <c r="N25" s="1"/>
  <c r="J25"/>
  <c r="N24"/>
  <c r="N42" i="15"/>
  <c r="J11"/>
  <c r="K11" s="1"/>
  <c r="L11" s="1"/>
  <c r="I46"/>
  <c r="I43"/>
  <c r="L46"/>
  <c r="K46"/>
  <c r="J46"/>
  <c r="I28"/>
  <c r="I31"/>
  <c r="I18"/>
  <c r="I16"/>
  <c r="I34" i="8"/>
  <c r="I30"/>
  <c r="I23"/>
  <c r="I21"/>
  <c r="I18"/>
  <c r="I16"/>
  <c r="J12" i="5"/>
  <c r="N46" i="15" l="1"/>
  <c r="I50"/>
  <c r="L31"/>
  <c r="K31"/>
  <c r="N31" s="1"/>
  <c r="J31"/>
  <c r="L28"/>
  <c r="K28"/>
  <c r="J28"/>
  <c r="L18"/>
  <c r="K18"/>
  <c r="N18" s="1"/>
  <c r="J18"/>
  <c r="L16"/>
  <c r="K16"/>
  <c r="J16"/>
  <c r="M34" i="8"/>
  <c r="L34"/>
  <c r="J34"/>
  <c r="M30"/>
  <c r="L30"/>
  <c r="N30" s="1"/>
  <c r="M23"/>
  <c r="L23"/>
  <c r="N23" s="1"/>
  <c r="J23"/>
  <c r="M21"/>
  <c r="L21"/>
  <c r="N21" s="1"/>
  <c r="N18"/>
  <c r="M16"/>
  <c r="L16"/>
  <c r="N28" i="15" l="1"/>
  <c r="N16"/>
  <c r="M35" i="8"/>
  <c r="L35"/>
  <c r="N16"/>
  <c r="N35" s="1"/>
  <c r="N15" i="6"/>
  <c r="Q22"/>
  <c r="N34" i="8"/>
  <c r="M22" i="6"/>
  <c r="M24" i="5" l="1"/>
  <c r="K24"/>
  <c r="K19" s="1"/>
  <c r="L24"/>
  <c r="P22" i="6"/>
  <c r="O26"/>
  <c r="P64" l="1"/>
  <c r="P58"/>
  <c r="L19" i="5"/>
  <c r="L15" s="1"/>
  <c r="R15" s="1"/>
  <c r="L21"/>
  <c r="R21" s="1"/>
  <c r="M19"/>
  <c r="M21"/>
  <c r="O22" s="1"/>
  <c r="L15" i="17"/>
  <c r="N15" l="1"/>
  <c r="P12" i="6"/>
  <c r="M19" l="1"/>
  <c r="M18"/>
  <c r="M43"/>
  <c r="M36"/>
  <c r="M29"/>
  <c r="P25"/>
  <c r="Q25"/>
  <c r="O25"/>
  <c r="M15" l="1"/>
  <c r="K12" i="5"/>
  <c r="M11" i="8"/>
  <c r="K11" i="17"/>
  <c r="L11" s="1"/>
  <c r="K11" i="16"/>
  <c r="L11" s="1"/>
  <c r="L21" i="2"/>
  <c r="M11" i="19"/>
  <c r="N11" s="1"/>
  <c r="A28" i="18"/>
  <c r="J27"/>
  <c r="A26"/>
  <c r="A24"/>
  <c r="A22"/>
  <c r="A20"/>
  <c r="A17"/>
  <c r="A14"/>
  <c r="I11"/>
  <c r="J11" s="1"/>
  <c r="L43" i="15"/>
  <c r="K43"/>
  <c r="J43"/>
  <c r="N43"/>
  <c r="L40"/>
  <c r="K40"/>
  <c r="J40"/>
  <c r="N39"/>
  <c r="N40" s="1"/>
  <c r="K37"/>
  <c r="J37"/>
  <c r="L34"/>
  <c r="K34"/>
  <c r="J34"/>
  <c r="N34"/>
  <c r="L25"/>
  <c r="K25"/>
  <c r="J25"/>
  <c r="N24"/>
  <c r="M29" i="5" s="1"/>
  <c r="L23" i="15"/>
  <c r="K23"/>
  <c r="J23"/>
  <c r="N22"/>
  <c r="M28" i="5" s="1"/>
  <c r="L20" i="15"/>
  <c r="K20"/>
  <c r="J20"/>
  <c r="L50" l="1"/>
  <c r="N25"/>
  <c r="N20"/>
  <c r="N23"/>
  <c r="N36"/>
  <c r="N37" s="1"/>
  <c r="N50" l="1"/>
  <c r="S33" i="6" s="1"/>
  <c r="P33"/>
  <c r="P29" s="1"/>
  <c r="J27" i="5"/>
  <c r="O33" i="6"/>
  <c r="I27" i="5"/>
  <c r="Q33" i="6"/>
  <c r="Q29" s="1"/>
  <c r="K27" i="5"/>
  <c r="AA16" i="2"/>
  <c r="U33" i="6" l="1"/>
  <c r="M27" i="5"/>
  <c r="M25" s="1"/>
  <c r="K25"/>
  <c r="Q25" s="1"/>
  <c r="O29" i="6"/>
  <c r="J25" i="5"/>
  <c r="P25" s="1"/>
  <c r="K26" i="6"/>
  <c r="K25"/>
  <c r="L18" l="1"/>
  <c r="L19"/>
  <c r="L43"/>
  <c r="L36"/>
  <c r="L29"/>
  <c r="L22"/>
  <c r="L15" l="1"/>
  <c r="N33" i="8"/>
  <c r="N26" l="1"/>
  <c r="R25" i="6" s="1"/>
  <c r="J28" i="8"/>
  <c r="N27"/>
  <c r="K29" i="6" l="1"/>
  <c r="I15" i="19" l="1"/>
  <c r="T24" i="2" l="1"/>
  <c r="T21" s="1"/>
  <c r="K21"/>
  <c r="AA19"/>
  <c r="Y20"/>
  <c r="K17" i="6" l="1"/>
  <c r="K18"/>
  <c r="K19"/>
  <c r="K20"/>
  <c r="K21"/>
  <c r="K22"/>
  <c r="K36"/>
  <c r="K43"/>
  <c r="M21" i="2" l="1"/>
  <c r="K15" i="6"/>
  <c r="N21" i="2" l="1"/>
  <c r="O21" l="1"/>
  <c r="P21" l="1"/>
  <c r="S25" i="6"/>
  <c r="J25"/>
  <c r="U25" s="1"/>
  <c r="J26"/>
  <c r="U26" s="1"/>
  <c r="J21" i="5" l="1"/>
  <c r="P21" l="1"/>
  <c r="J52"/>
  <c r="J47" i="6"/>
  <c r="J46"/>
  <c r="J29" l="1"/>
  <c r="P39" l="1"/>
  <c r="Q39"/>
  <c r="O39"/>
  <c r="L23" i="16"/>
  <c r="K23"/>
  <c r="N23" s="1"/>
  <c r="J23"/>
  <c r="N22"/>
  <c r="R39" i="6" s="1"/>
  <c r="U39" l="1"/>
  <c r="R36"/>
  <c r="R18"/>
  <c r="R15" s="1"/>
  <c r="O46" l="1"/>
  <c r="J18"/>
  <c r="J17"/>
  <c r="J20"/>
  <c r="J21"/>
  <c r="J40"/>
  <c r="J43"/>
  <c r="J19" l="1"/>
  <c r="O18"/>
  <c r="J36"/>
  <c r="J22"/>
  <c r="C15"/>
  <c r="J15" l="1"/>
  <c r="B6" i="25"/>
  <c r="G25" i="22"/>
  <c r="H25"/>
  <c r="G23"/>
  <c r="H23"/>
  <c r="G24"/>
  <c r="H24"/>
  <c r="H9" i="24" l="1"/>
  <c r="H10"/>
  <c r="E8"/>
  <c r="B11"/>
  <c r="H53" i="22"/>
  <c r="G53"/>
  <c r="F53"/>
  <c r="G42"/>
  <c r="H42"/>
  <c r="F42"/>
  <c r="N14"/>
  <c r="G14" s="1"/>
  <c r="O14"/>
  <c r="H14" s="1"/>
  <c r="N15"/>
  <c r="G15" s="1"/>
  <c r="O15"/>
  <c r="H15" s="1"/>
  <c r="N16"/>
  <c r="G16" s="1"/>
  <c r="O16"/>
  <c r="H16" s="1"/>
  <c r="N17"/>
  <c r="G17" s="1"/>
  <c r="O17"/>
  <c r="H17" s="1"/>
  <c r="N18"/>
  <c r="G18" s="1"/>
  <c r="O18"/>
  <c r="H18" s="1"/>
  <c r="N19"/>
  <c r="G19" s="1"/>
  <c r="O19"/>
  <c r="H19" s="1"/>
  <c r="N20"/>
  <c r="G20" s="1"/>
  <c r="O20"/>
  <c r="H20" s="1"/>
  <c r="M15"/>
  <c r="M16"/>
  <c r="M17"/>
  <c r="M18"/>
  <c r="M19"/>
  <c r="M20"/>
  <c r="M14"/>
  <c r="M7"/>
  <c r="M8"/>
  <c r="M9"/>
  <c r="M10"/>
  <c r="M11"/>
  <c r="M12"/>
  <c r="N6"/>
  <c r="G6" s="1"/>
  <c r="O6"/>
  <c r="H6" s="1"/>
  <c r="N7"/>
  <c r="G7" s="1"/>
  <c r="O7"/>
  <c r="H7" s="1"/>
  <c r="N8"/>
  <c r="G8" s="1"/>
  <c r="O8"/>
  <c r="H8" s="1"/>
  <c r="N9"/>
  <c r="G9" s="1"/>
  <c r="O9"/>
  <c r="H9" s="1"/>
  <c r="N10"/>
  <c r="G10" s="1"/>
  <c r="O10"/>
  <c r="H10" s="1"/>
  <c r="N11"/>
  <c r="G11" s="1"/>
  <c r="O11"/>
  <c r="H11" s="1"/>
  <c r="N12"/>
  <c r="G12" s="1"/>
  <c r="O12"/>
  <c r="H12" s="1"/>
  <c r="M6"/>
  <c r="F24"/>
  <c r="F23"/>
  <c r="C25"/>
  <c r="C23"/>
  <c r="C22"/>
  <c r="C21"/>
  <c r="C13"/>
  <c r="C5"/>
  <c r="G5" l="1"/>
  <c r="H5"/>
  <c r="H13"/>
  <c r="G13"/>
  <c r="O13"/>
  <c r="N13"/>
  <c r="O5"/>
  <c r="N5"/>
  <c r="N31" i="8" l="1"/>
  <c r="S26" i="6" s="1"/>
  <c r="J32" i="8"/>
  <c r="L32"/>
  <c r="M32"/>
  <c r="L28"/>
  <c r="M28"/>
  <c r="N25"/>
  <c r="I24" i="22" s="1"/>
  <c r="I24" i="5" l="1"/>
  <c r="I21" s="1"/>
  <c r="O21" s="1"/>
  <c r="N32" i="8"/>
  <c r="H43" i="6"/>
  <c r="E10" i="21" l="1"/>
  <c r="E11"/>
  <c r="E12"/>
  <c r="E9"/>
  <c r="F7"/>
  <c r="G7"/>
  <c r="E8" l="1"/>
  <c r="F25" i="22"/>
  <c r="I25"/>
  <c r="K21" i="5" l="1"/>
  <c r="Q21" s="1"/>
  <c r="G4" i="22" l="1"/>
  <c r="H4"/>
  <c r="F4"/>
  <c r="P17" i="6"/>
  <c r="Q17"/>
  <c r="P20"/>
  <c r="Q20"/>
  <c r="P21"/>
  <c r="Q21"/>
  <c r="P40"/>
  <c r="Q40"/>
  <c r="Q46"/>
  <c r="Q47"/>
  <c r="O40"/>
  <c r="U40" s="1"/>
  <c r="S49"/>
  <c r="S48"/>
  <c r="S45"/>
  <c r="S42"/>
  <c r="S41"/>
  <c r="S38"/>
  <c r="S35"/>
  <c r="S34"/>
  <c r="S32"/>
  <c r="S31"/>
  <c r="S28"/>
  <c r="S27"/>
  <c r="S24"/>
  <c r="I18" i="7"/>
  <c r="U46" i="6" l="1"/>
  <c r="S29"/>
  <c r="T29" s="1"/>
  <c r="P19"/>
  <c r="N4" i="22"/>
  <c r="F4" i="24"/>
  <c r="G34" i="22"/>
  <c r="G45" s="1"/>
  <c r="M4"/>
  <c r="E4" i="24"/>
  <c r="F34" i="22"/>
  <c r="F45" s="1"/>
  <c r="O4"/>
  <c r="G4" i="24"/>
  <c r="H34" i="22"/>
  <c r="H45" s="1"/>
  <c r="P43" i="6"/>
  <c r="Q43"/>
  <c r="Q18"/>
  <c r="S39"/>
  <c r="S40"/>
  <c r="P18"/>
  <c r="Q36"/>
  <c r="P36"/>
  <c r="S46"/>
  <c r="P15" l="1"/>
  <c r="F15" i="21"/>
  <c r="G15"/>
  <c r="E15"/>
  <c r="B15"/>
  <c r="H15" l="1"/>
  <c r="F6" i="25" l="1"/>
  <c r="G6"/>
  <c r="G21" i="2" l="1"/>
  <c r="L21" i="16" l="1"/>
  <c r="K21"/>
  <c r="N21" s="1"/>
  <c r="J21"/>
  <c r="E8" i="25" l="1"/>
  <c r="E7"/>
  <c r="E6" l="1"/>
  <c r="E7" i="21"/>
  <c r="H7" s="1"/>
  <c r="H8" i="25" l="1"/>
  <c r="J19" i="17"/>
  <c r="I37" i="5" s="1"/>
  <c r="N24" i="8"/>
  <c r="I23" i="22" l="1"/>
  <c r="N28" i="8"/>
  <c r="R22" i="6" s="1"/>
  <c r="H7" i="25"/>
  <c r="H6" s="1"/>
  <c r="L19" i="17"/>
  <c r="K37" i="5" s="1"/>
  <c r="K18" s="1"/>
  <c r="K19" i="17"/>
  <c r="S22" i="6" l="1"/>
  <c r="T22" s="1"/>
  <c r="J18" i="5"/>
  <c r="N19" i="17"/>
  <c r="M37" i="5" l="1"/>
  <c r="M18" s="1"/>
  <c r="F8" i="24"/>
  <c r="G8"/>
  <c r="F6"/>
  <c r="G6"/>
  <c r="F7"/>
  <c r="G7"/>
  <c r="E7"/>
  <c r="E6"/>
  <c r="H7" l="1"/>
  <c r="F5"/>
  <c r="F12" s="1"/>
  <c r="H6"/>
  <c r="G5"/>
  <c r="G12" s="1"/>
  <c r="E5"/>
  <c r="E12" s="1"/>
  <c r="H8"/>
  <c r="K19" i="16" l="1"/>
  <c r="L19"/>
  <c r="J19"/>
  <c r="K17"/>
  <c r="N17" s="1"/>
  <c r="L17"/>
  <c r="J17"/>
  <c r="N19" l="1"/>
  <c r="K32" i="5"/>
  <c r="L26" i="16"/>
  <c r="K30" i="5" s="1"/>
  <c r="J32"/>
  <c r="K26" i="16"/>
  <c r="J26"/>
  <c r="I32" i="5"/>
  <c r="I19" s="1"/>
  <c r="J30" l="1"/>
  <c r="N26" i="16"/>
  <c r="M32" i="5"/>
  <c r="M30"/>
  <c r="E14" i="24"/>
  <c r="E15" s="1"/>
  <c r="I30" i="5"/>
  <c r="F14" i="24"/>
  <c r="F15" s="1"/>
  <c r="P60" i="6"/>
  <c r="P66"/>
  <c r="Q60"/>
  <c r="Q66"/>
  <c r="G14" i="24"/>
  <c r="G15" s="1"/>
  <c r="H17" i="6"/>
  <c r="H18"/>
  <c r="H19"/>
  <c r="H20"/>
  <c r="H21"/>
  <c r="H36"/>
  <c r="H29"/>
  <c r="H22"/>
  <c r="H14" i="24" l="1"/>
  <c r="H15" s="1"/>
  <c r="H15" i="6"/>
  <c r="J16" i="17" l="1"/>
  <c r="J26" l="1"/>
  <c r="O47" i="6" s="1"/>
  <c r="J37" i="8"/>
  <c r="U47" i="6" l="1"/>
  <c r="O19"/>
  <c r="S47"/>
  <c r="I36" i="5"/>
  <c r="J38" i="8"/>
  <c r="E5" i="25"/>
  <c r="E9" s="1"/>
  <c r="O22" i="6" l="1"/>
  <c r="S19"/>
  <c r="Q64"/>
  <c r="Q58"/>
  <c r="T66"/>
  <c r="T65"/>
  <c r="T60"/>
  <c r="T59"/>
  <c r="I17" i="5" l="1"/>
  <c r="P65" i="6"/>
  <c r="I34" i="5"/>
  <c r="O34" s="1"/>
  <c r="I49" l="1"/>
  <c r="P59" i="6"/>
  <c r="I55" i="5"/>
  <c r="F5" i="25"/>
  <c r="F9" s="1"/>
  <c r="K16" i="17"/>
  <c r="K26" s="1"/>
  <c r="P61" i="6" l="1"/>
  <c r="P67"/>
  <c r="G5" i="25"/>
  <c r="G9" s="1"/>
  <c r="L16" i="17"/>
  <c r="F20" i="22"/>
  <c r="F19"/>
  <c r="F18"/>
  <c r="F17"/>
  <c r="F16"/>
  <c r="F15"/>
  <c r="F14"/>
  <c r="F7"/>
  <c r="F8"/>
  <c r="F9"/>
  <c r="F10"/>
  <c r="F11"/>
  <c r="F12"/>
  <c r="F6"/>
  <c r="P20"/>
  <c r="P19"/>
  <c r="P18"/>
  <c r="P17"/>
  <c r="P16"/>
  <c r="P15"/>
  <c r="P14"/>
  <c r="M13"/>
  <c r="P12"/>
  <c r="P11"/>
  <c r="P10"/>
  <c r="P9"/>
  <c r="P8"/>
  <c r="P7"/>
  <c r="M5"/>
  <c r="N16" i="17" l="1"/>
  <c r="L26"/>
  <c r="K36" i="5" s="1"/>
  <c r="N26" i="17"/>
  <c r="M36" i="5" s="1"/>
  <c r="Q67" i="6"/>
  <c r="I7" i="22"/>
  <c r="I11"/>
  <c r="I6"/>
  <c r="H5" i="25"/>
  <c r="H9" s="1"/>
  <c r="P5" i="22"/>
  <c r="P13"/>
  <c r="E18" i="6"/>
  <c r="K17" i="5" l="1"/>
  <c r="K15" s="1"/>
  <c r="Q15" s="1"/>
  <c r="K34"/>
  <c r="Q61" i="6"/>
  <c r="J34" i="5"/>
  <c r="J17"/>
  <c r="J15" s="1"/>
  <c r="P15" s="1"/>
  <c r="M34"/>
  <c r="S34" s="1"/>
  <c r="M17"/>
  <c r="M15" s="1"/>
  <c r="S15" s="1"/>
  <c r="G28" i="22"/>
  <c r="I10"/>
  <c r="K49" i="5"/>
  <c r="Q34" l="1"/>
  <c r="K55"/>
  <c r="P34"/>
  <c r="J55"/>
  <c r="J49"/>
  <c r="F5" i="21"/>
  <c r="G5"/>
  <c r="E5"/>
  <c r="E16" s="1"/>
  <c r="E19" s="1"/>
  <c r="G6" l="1"/>
  <c r="F6"/>
  <c r="E6"/>
  <c r="H5"/>
  <c r="B8" i="24"/>
  <c r="B5"/>
  <c r="F14" i="21"/>
  <c r="G14"/>
  <c r="E14"/>
  <c r="F13"/>
  <c r="G13"/>
  <c r="E13"/>
  <c r="B14"/>
  <c r="B13"/>
  <c r="F5" i="22"/>
  <c r="H6" i="21" l="1"/>
  <c r="O36" i="6"/>
  <c r="H5" i="24"/>
  <c r="H12" s="1"/>
  <c r="I36" i="6"/>
  <c r="H14" i="21"/>
  <c r="H13"/>
  <c r="E28" i="5"/>
  <c r="E37" s="1"/>
  <c r="E33"/>
  <c r="J33"/>
  <c r="K33"/>
  <c r="I33"/>
  <c r="I20" s="1"/>
  <c r="I25"/>
  <c r="O25" s="1"/>
  <c r="O66" i="6" l="1"/>
  <c r="O60"/>
  <c r="S36"/>
  <c r="I53" i="5"/>
  <c r="I66" i="6"/>
  <c r="M33" i="5"/>
  <c r="S60" i="6" l="1"/>
  <c r="S66"/>
  <c r="I47" i="5"/>
  <c r="J54"/>
  <c r="J48"/>
  <c r="K54"/>
  <c r="K48"/>
  <c r="AA22" i="2" l="1"/>
  <c r="Y22"/>
  <c r="S18" i="6" l="1"/>
  <c r="I19" l="1"/>
  <c r="I17"/>
  <c r="G18" l="1"/>
  <c r="G19"/>
  <c r="F18" l="1"/>
  <c r="F19"/>
  <c r="E19" l="1"/>
  <c r="E22"/>
  <c r="G12" i="20" l="1"/>
  <c r="I12" s="1"/>
  <c r="H28" i="22" l="1"/>
  <c r="F28"/>
  <c r="G22"/>
  <c r="H22"/>
  <c r="F22"/>
  <c r="F21"/>
  <c r="I20"/>
  <c r="I19"/>
  <c r="I18"/>
  <c r="I17"/>
  <c r="I16"/>
  <c r="I15"/>
  <c r="I14"/>
  <c r="F13"/>
  <c r="I12"/>
  <c r="I9"/>
  <c r="I8"/>
  <c r="F26" l="1"/>
  <c r="I28"/>
  <c r="G29"/>
  <c r="G30" s="1"/>
  <c r="H29"/>
  <c r="H30" s="1"/>
  <c r="F29"/>
  <c r="F30" s="1"/>
  <c r="G21"/>
  <c r="G26" s="1"/>
  <c r="I5"/>
  <c r="F9" i="21"/>
  <c r="G9" s="1"/>
  <c r="F10"/>
  <c r="F11"/>
  <c r="G11" s="1"/>
  <c r="F12"/>
  <c r="G12" s="1"/>
  <c r="A15" i="7"/>
  <c r="A14"/>
  <c r="G10" i="21" l="1"/>
  <c r="G8" s="1"/>
  <c r="G16" s="1"/>
  <c r="F8"/>
  <c r="H9"/>
  <c r="H12"/>
  <c r="H11"/>
  <c r="I18" i="6"/>
  <c r="U18" s="1"/>
  <c r="I22"/>
  <c r="H21" i="22"/>
  <c r="Y24" i="2"/>
  <c r="Y23"/>
  <c r="F22"/>
  <c r="X24"/>
  <c r="E22"/>
  <c r="X23"/>
  <c r="M46" i="5" l="1"/>
  <c r="Z24" i="2"/>
  <c r="H26" i="22"/>
  <c r="I13"/>
  <c r="H10" i="21"/>
  <c r="H8"/>
  <c r="H16" s="1"/>
  <c r="F16"/>
  <c r="F19" s="1"/>
  <c r="N15" i="19"/>
  <c r="Z23" i="2"/>
  <c r="I64" i="6"/>
  <c r="I21" i="22"/>
  <c r="Z22" i="2" l="1"/>
  <c r="X22" s="1"/>
  <c r="E18"/>
  <c r="B31" i="3"/>
  <c r="D18" i="2" l="1"/>
  <c r="D19" s="1"/>
  <c r="E19"/>
  <c r="B27"/>
  <c r="B25"/>
  <c r="J21" l="1"/>
  <c r="G43" i="6" l="1"/>
  <c r="F43"/>
  <c r="E43"/>
  <c r="G36"/>
  <c r="F36"/>
  <c r="E36"/>
  <c r="U36" s="1"/>
  <c r="G29"/>
  <c r="F29"/>
  <c r="E29"/>
  <c r="G22"/>
  <c r="F22"/>
  <c r="U22" s="1"/>
  <c r="V22" s="1"/>
  <c r="E17"/>
  <c r="F17"/>
  <c r="G17"/>
  <c r="E20"/>
  <c r="F20"/>
  <c r="G20"/>
  <c r="E21"/>
  <c r="F21"/>
  <c r="G21"/>
  <c r="E15" l="1"/>
  <c r="G15"/>
  <c r="F15"/>
  <c r="E32" i="5" l="1"/>
  <c r="B17" i="2"/>
  <c r="B20"/>
  <c r="E21"/>
  <c r="F21"/>
  <c r="I21"/>
  <c r="D21"/>
  <c r="A14" i="19"/>
  <c r="A13"/>
  <c r="O4" i="6"/>
  <c r="J3" i="5"/>
  <c r="B21" i="3"/>
  <c r="D2"/>
  <c r="A9"/>
  <c r="B15"/>
  <c r="I43" i="6" l="1"/>
  <c r="O21"/>
  <c r="S21" s="1"/>
  <c r="I21"/>
  <c r="U21" s="1"/>
  <c r="O20"/>
  <c r="S20" s="1"/>
  <c r="I20"/>
  <c r="U20" s="1"/>
  <c r="O17"/>
  <c r="C43"/>
  <c r="C36"/>
  <c r="C29"/>
  <c r="C22"/>
  <c r="E27" i="5"/>
  <c r="E36" s="1"/>
  <c r="E24"/>
  <c r="E29" s="1"/>
  <c r="E23"/>
  <c r="M16"/>
  <c r="M22"/>
  <c r="M26"/>
  <c r="M31"/>
  <c r="M35"/>
  <c r="O15" i="6" l="1"/>
  <c r="U17"/>
  <c r="I18" i="5"/>
  <c r="I15" s="1"/>
  <c r="O15" s="1"/>
  <c r="I46"/>
  <c r="S17" i="6"/>
  <c r="S15" s="1"/>
  <c r="T15" s="1"/>
  <c r="O58"/>
  <c r="O64"/>
  <c r="I67"/>
  <c r="V36"/>
  <c r="A11" i="20"/>
  <c r="A10"/>
  <c r="I29" i="22"/>
  <c r="S64" i="6" l="1"/>
  <c r="S58"/>
  <c r="I48" i="5"/>
  <c r="I54"/>
  <c r="K52"/>
  <c r="K46"/>
  <c r="J46"/>
  <c r="I52"/>
  <c r="I22" i="22"/>
  <c r="I26" s="1"/>
  <c r="I30"/>
  <c r="J53" i="5" l="1"/>
  <c r="J47"/>
  <c r="T58" i="6"/>
  <c r="T64"/>
  <c r="T36"/>
  <c r="M54" i="5"/>
  <c r="M48"/>
  <c r="M52"/>
  <c r="O43" i="6"/>
  <c r="U43" s="1"/>
  <c r="I29"/>
  <c r="U29" l="1"/>
  <c r="V29" s="1"/>
  <c r="O67"/>
  <c r="O61"/>
  <c r="S43"/>
  <c r="T43" s="1"/>
  <c r="M49" i="5"/>
  <c r="I15" i="6"/>
  <c r="I65"/>
  <c r="M55" i="5"/>
  <c r="V43" i="6"/>
  <c r="G19" i="21" l="1"/>
  <c r="S67" i="6"/>
  <c r="S61"/>
  <c r="O65"/>
  <c r="O59"/>
  <c r="M47" i="5" l="1"/>
  <c r="Q19" i="6"/>
  <c r="U19" s="1"/>
  <c r="K53" i="5"/>
  <c r="K47"/>
  <c r="T61" i="6"/>
  <c r="T67"/>
  <c r="H19" i="21" l="1"/>
  <c r="M53" i="5"/>
  <c r="Q15" i="6"/>
  <c r="U15" s="1"/>
  <c r="U12" s="1"/>
  <c r="Q59"/>
  <c r="Q65"/>
  <c r="V15" l="1"/>
  <c r="S59"/>
  <c r="S65"/>
</calcChain>
</file>

<file path=xl/sharedStrings.xml><?xml version="1.0" encoding="utf-8"?>
<sst xmlns="http://schemas.openxmlformats.org/spreadsheetml/2006/main" count="1117" uniqueCount="404">
  <si>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</si>
  <si>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</si>
  <si>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</si>
  <si>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</si>
  <si>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</si>
  <si>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</si>
  <si>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</si>
  <si>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</si>
  <si>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</si>
  <si>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</si>
  <si>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</si>
  <si>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</si>
  <si>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</si>
  <si>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</si>
  <si>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</si>
  <si>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</si>
  <si>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</si>
  <si>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</si>
  <si>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</si>
  <si>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</si>
  <si>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</si>
  <si>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</si>
  <si>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</si>
  <si>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</si>
  <si>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</si>
  <si>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</si>
  <si>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</si>
  <si>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</si>
  <si>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</si>
  <si>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</si>
  <si>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</si>
  <si>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</si>
  <si>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</si>
  <si>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</si>
  <si>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</si>
  <si>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</si>
  <si>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</si>
  <si>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</si>
  <si>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</si>
  <si>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</si>
  <si>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</si>
  <si>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</si>
  <si>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</si>
  <si>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</si>
  <si>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</si>
  <si>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</si>
  <si>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</si>
  <si>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</si>
  <si>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</si>
  <si>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</si>
  <si>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</si>
  <si>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</si>
  <si>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</si>
  <si>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</si>
  <si>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</si>
  <si>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</si>
  <si>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</si>
  <si>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</si>
  <si>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</si>
  <si>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</si>
  <si>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</si>
  <si>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</si>
  <si>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</si>
  <si>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</si>
  <si>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</si>
  <si>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</si>
  <si>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</si>
  <si>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</si>
  <si>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</si>
  <si>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</si>
  <si>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</si>
  <si>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</si>
  <si>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</si>
  <si>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</si>
  <si>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</si>
  <si>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</si>
  <si>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</si>
  <si>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</si>
  <si>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</si>
  <si>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</si>
  <si>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</si>
  <si>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</si>
  <si>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</si>
  <si>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</si>
  <si>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</si>
  <si>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</si>
  <si>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</si>
  <si>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</si>
  <si>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</si>
  <si>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</si>
  <si>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</si>
  <si>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</si>
  <si>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</si>
  <si>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</si>
  <si>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</si>
  <si>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</si>
  <si>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</si>
  <si>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</si>
  <si>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</si>
  <si>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</si>
  <si>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</si>
  <si>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</si>
  <si>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</si>
  <si>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</si>
  <si>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</si>
  <si>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</si>
  <si>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</si>
  <si>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</si>
  <si>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</si>
  <si>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</si>
  <si>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</si>
  <si>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</si>
  <si>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</si>
  <si>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</si>
  <si>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</si>
  <si>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</si>
  <si>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</si>
  <si>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</si>
  <si>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</si>
  <si>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</si>
  <si>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</si>
  <si>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</si>
  <si>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</si>
  <si>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</si>
  <si>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</si>
  <si>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</si>
  <si>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</si>
  <si>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</si>
  <si>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</si>
  <si>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</si>
  <si>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</si>
  <si>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</si>
  <si>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</si>
  <si>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</si>
  <si>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>человек на 100 тысяч населения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</si>
  <si>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</si>
  <si>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</si>
  <si>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</si>
  <si>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</si>
  <si>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</si>
  <si>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</si>
  <si>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</si>
  <si>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</si>
  <si>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</si>
  <si>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</si>
  <si>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</si>
  <si>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</si>
  <si>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</si>
  <si>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</si>
  <si>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</si>
  <si>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</si>
  <si>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</si>
  <si>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</si>
  <si>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</si>
  <si>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</si>
  <si>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</si>
  <si>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</si>
  <si>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</si>
  <si>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</si>
  <si>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</si>
  <si>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</si>
  <si>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</si>
  <si>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</si>
  <si>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</si>
  <si>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</si>
  <si>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</si>
  <si>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</si>
  <si>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</si>
  <si>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</si>
  <si>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</si>
  <si>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</si>
  <si>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</si>
  <si>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</si>
  <si>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</si>
  <si>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</si>
  <si>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</si>
  <si>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</si>
  <si>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</si>
  <si>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</si>
  <si>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</si>
  <si>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</si>
  <si>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</si>
  <si>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</si>
  <si>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</si>
  <si>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</si>
  <si>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</si>
  <si>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</si>
  <si>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</si>
  <si>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</si>
  <si>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</si>
  <si>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</si>
  <si>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</si>
  <si>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</si>
  <si>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</si>
  <si>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</si>
  <si>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</si>
  <si>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отчетность исполнителя  мероприятий</t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</si>
  <si>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</si>
  <si>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</si>
  <si>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</si>
  <si>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</si>
  <si>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</si>
  <si>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</si>
  <si>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</si>
  <si>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</si>
  <si>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</si>
  <si>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</si>
  <si>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</si>
  <si>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</si>
  <si>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</si>
  <si>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</si>
  <si>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</si>
  <si>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</si>
  <si>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</si>
  <si>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</si>
  <si>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</si>
  <si>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</si>
  <si>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</si>
  <si>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</si>
  <si>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</si>
  <si>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</si>
  <si>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</si>
  <si>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</si>
  <si>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</si>
  <si>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</si>
  <si>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</si>
  <si>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</si>
  <si>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</si>
  <si>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</si>
  <si>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</si>
  <si>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</si>
  <si>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</si>
  <si>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</si>
  <si>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</si>
  <si>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</si>
  <si>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</si>
  <si>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</si>
  <si>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</si>
  <si>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</si>
  <si>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</si>
  <si>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</si>
  <si>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</si>
  <si>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</si>
  <si>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</si>
  <si>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</si>
  <si>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</si>
  <si>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</si>
  <si>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</si>
  <si>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</si>
  <si>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</si>
  <si>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</si>
  <si>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</si>
  <si>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</si>
  <si>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</si>
  <si>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</si>
  <si>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</si>
  <si>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</si>
  <si>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</si>
  <si>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</si>
  <si>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</si>
  <si>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</si>
  <si>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</si>
  <si>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</si>
  <si>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</si>
  <si>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</si>
  <si>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</si>
  <si>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</si>
  <si>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</si>
  <si>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</si>
  <si>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</si>
  <si>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</si>
  <si>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</si>
  <si>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</si>
  <si>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</si>
  <si>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</si>
  <si>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шт.</t>
  </si>
  <si>
    <t>ведомственная отчетность программных мероприятий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</si>
  <si>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</si>
  <si>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</si>
  <si>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</si>
  <si>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</si>
  <si>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>5.1.</t>
  </si>
  <si>
    <t>постановление администрации Туруханского района</t>
  </si>
  <si>
    <t>6.1.</t>
  </si>
  <si>
    <t>094D276450</t>
  </si>
  <si>
    <t>813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</si>
  <si>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</si>
  <si>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</si>
  <si>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</si>
  <si>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</si>
  <si>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2023 год</t>
  </si>
  <si>
    <t>всего прот</t>
  </si>
  <si>
    <t>не отвечающих</t>
  </si>
  <si>
    <t>мероприятий подпрограммы 3 "Безопасность дорожного движения в Туруханском районе"</t>
  </si>
  <si>
    <t>-</t>
  </si>
  <si>
    <t>09100S3951</t>
  </si>
  <si>
    <t>0910073951</t>
  </si>
  <si>
    <t>093R310601</t>
  </si>
  <si>
    <t>2024 год</t>
  </si>
  <si>
    <t>Расходы на содержание автомобильных дорог общего пользования местного значения (дорожный фонд)</t>
  </si>
  <si>
    <t>Расходы на капитальный ремонт и ремонт автомобильных дорог общего пользования местного значения (дорожный фонд)</t>
  </si>
  <si>
    <t>0920084470</t>
  </si>
  <si>
    <t>0920084630</t>
  </si>
  <si>
    <t>Отдельное мероприятие. Задача 6. Улучшение качества содержания улично-дорожной сети</t>
  </si>
  <si>
    <t>0920084670</t>
  </si>
  <si>
    <t>0910084560</t>
  </si>
  <si>
    <t>0910084620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</si>
  <si>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</si>
  <si>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</si>
  <si>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Отдельное мероприятие. Задача 7. Оказание услуг по проверке технического состояния автотранспортных средств</t>
  </si>
  <si>
    <t>7.1.</t>
  </si>
  <si>
    <t>Приложение № 3
к постановлению администрации  Туруханского района 
от___________№__________-п</t>
  </si>
  <si>
    <t>Отдельное мероприятие. Задача 4. Содержание улично-дорожной сети</t>
  </si>
  <si>
    <t>Профилактические мероприятия направленные на предотвращение распространения COVID-19</t>
  </si>
  <si>
    <t>Организация межнавигационного отстоя судов (припаромки)</t>
  </si>
  <si>
    <t>Содержание улично-дорожной сети</t>
  </si>
  <si>
    <t>Повышение качества пассажирских перевозок</t>
  </si>
  <si>
    <t>Улучшение состояния улично-дорожной сети</t>
  </si>
  <si>
    <t>Организация технического осмотра транспортных средств</t>
  </si>
  <si>
    <t>исполнение Да-1, Нет-0</t>
  </si>
  <si>
    <t>0920084240</t>
  </si>
  <si>
    <t>Иные межбюджетные трансферты на организацию технического осмотра автомобильного транспорта</t>
  </si>
  <si>
    <t>0920084800</t>
  </si>
  <si>
    <t>811</t>
  </si>
  <si>
    <t>8.1.</t>
  </si>
  <si>
    <t>2026 год</t>
  </si>
  <si>
    <t>Об утверждении Порядка предоставления субсидии на приобретение и доставку топлива для нужд Туруханского района</t>
  </si>
  <si>
    <t>№ 742 -п от 02.09.2022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</si>
  <si>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городского поселения Туруханского района</t>
  </si>
  <si>
    <t xml:space="preserve">     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</si>
  <si>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сельских поселений Туруханского района</t>
  </si>
  <si>
    <t>Отдельные мероприятия подпрограммы</t>
  </si>
  <si>
    <t xml:space="preserve">№ 302-п от 18.04.2022         </t>
  </si>
  <si>
    <t>2.2.1.</t>
  </si>
  <si>
    <t>2.2.2.</t>
  </si>
  <si>
    <t>2.2.3.</t>
  </si>
  <si>
    <t>2.2.4.</t>
  </si>
  <si>
    <t>01</t>
  </si>
  <si>
    <t>отчет</t>
  </si>
  <si>
    <t>Субсидии на приобретение и доставку топлива, реализуемого населению Туруханского района</t>
  </si>
  <si>
    <t>Отдельное мероприятие. Задача 9. Мероприятия по обеспечению деятельности органов мсу в сфере транспорта</t>
  </si>
  <si>
    <t>0920084880</t>
  </si>
  <si>
    <t>Приобретение и доставка топлива, реализуемого населению Туруханского района</t>
  </si>
  <si>
    <t>0930084870</t>
  </si>
  <si>
    <t>Расходы на оборудование места посадки ивысадки пассажиров для их перевозки через протоку "Игарская"</t>
  </si>
  <si>
    <t>Иные межбюджетные трансферты на возмещение части затрат по перевозке пассажиров автомобильным транспортом</t>
  </si>
  <si>
    <t>Расходы на приобретение и доставку специальной техники и дополнительного оборудования для содержания улично-дорожной сети</t>
  </si>
  <si>
    <t>Отдельное мероприятие. Задача 8. Приобретение и доставка топлива, для реализации населению Туруханского района</t>
  </si>
  <si>
    <t>Проведение паталоготомических процедур в труднодоступных населенных пунктах Туруханского района</t>
  </si>
  <si>
    <t>Отдельное мероприятие. Задача 5. Улучшение качества оказания услуг по перевозке пассажиров</t>
  </si>
  <si>
    <t>9.1.</t>
  </si>
  <si>
    <t>Организация пунктов технического осмотра автомобильного транспорта</t>
  </si>
  <si>
    <t>Приобретено и доставлено специальной техники для содержания улично-дорожной сети</t>
  </si>
  <si>
    <t>Приобретено и доставлено специальной техники и дополнительного оборудования для содержания улично-дорожной сети</t>
  </si>
  <si>
    <t xml:space="preserve">Транспортировка тел умерших из населенных пунктов  до места проведения патологоанатомических процедур и захоронения </t>
  </si>
  <si>
    <t>Поддержание технического состояния зимней автодороги Игарка - Светлогосрк - Туруханск</t>
  </si>
  <si>
    <t xml:space="preserve">Поддержание транспортного сообщения Туруханск-Селиваниха и дорог межселенной территории </t>
  </si>
  <si>
    <t>ч 2022</t>
  </si>
  <si>
    <t>статистика</t>
  </si>
  <si>
    <t>Иные межбюджетные трансферты на приобретение и доставку специальной техники для содержания улично-дорожной сети</t>
  </si>
  <si>
    <t>10.1.</t>
  </si>
  <si>
    <t>Предоставление субсидии на возмещение недополученных доходов по перевозке пассажиров авиатранспортом</t>
  </si>
  <si>
    <t>Расходы на транспортировку тел умерших из населенных пунктов до места проведения патологоанатомических процедур и захоронения</t>
  </si>
  <si>
    <t>Предоставление субсидии (гранта в виде субсидии) на приобретение и доставку автобуса для нужд Туруханского района</t>
  </si>
  <si>
    <t>Предоставление субсидии на обустройство вертолетных площадок и транспортной инфраструктуры при организации авиаперевозок на территории Туруханского района</t>
  </si>
  <si>
    <t>Отдельное мероприятие. Задача 10. Мероприятия по обустройству вертолетных площадок и транспортной инфраструктуры при организации авиаперевозок на территории Туруханского района</t>
  </si>
  <si>
    <t>Обустройство вертолетных площадок и транспортной инфраструктуры при организации авиаперевозок на территории Туруханского района</t>
  </si>
  <si>
    <t>Мероприятия по обустройству вертолетных площадок и транспортной инфраструктуры при организации авиаперевозок на территории Туруханского района</t>
  </si>
  <si>
    <t>2027 год</t>
  </si>
  <si>
    <t>Обеспечение безопасного участия детей в дорожном движении</t>
  </si>
  <si>
    <t>Повышение безопасности дорожного движения</t>
  </si>
  <si>
    <t>Формирование законопослушного поведения участников дорожного движения</t>
  </si>
  <si>
    <t>Оборудование места посадки ивысадки пассажиров для их перевозки через протоку "Игарская"</t>
  </si>
  <si>
    <t>2028 год</t>
  </si>
  <si>
    <t>Приобретено и доставлено автобусов</t>
  </si>
  <si>
    <t>2027</t>
  </si>
  <si>
    <t>утверждение порядка о предоставлении субсидии организациям воздушного транспорта на возмещение недополучеенных доходов,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рвйона на 2023 год и плановый период 2024-2025 годы, в том числе:
положения о порядке проведения конкурсного отбора организаций воздушного транспорта на право получения субсидий на возмещение недополученных доходов 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</si>
  <si>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Туруханского  района</t>
  </si>
  <si>
    <t>№ 143-п от 19.03.2024</t>
  </si>
  <si>
    <t xml:space="preserve">№ 565-п от 01.07.2022 </t>
  </si>
  <si>
    <t xml:space="preserve">№ 1068-п от 24.12.2024 </t>
  </si>
  <si>
    <t>Услуги по авиационному обеспечению деятельности органов МСУ, комиссии по ЧС, оперативных, поисковых и рабочих групп</t>
  </si>
  <si>
    <t>Отдельное мероприятие. Задача 9. Мероприятия по обеспечению деятельности органов МСУ в сфере транспорта</t>
  </si>
  <si>
    <t>Авиационное обеспечение деятельности органов МСУ, комиссии по ЧС, оперативных, поисковых и рабочих групп</t>
  </si>
  <si>
    <t>Расходы по годам реализации программы                       (тыс. руб.)</t>
  </si>
  <si>
    <t>Приложение
к паспорту подпрограммы  4 «Развитие связи на территории Туруханского района»</t>
  </si>
  <si>
    <t>Приложение
к подпрограмме 4 «Развитие связи на территории Туруханского района»</t>
  </si>
  <si>
    <t>Приложение 5</t>
  </si>
  <si>
    <t>Приложение 6</t>
  </si>
  <si>
    <t>Отдельное мероприятие. Задача 2 Улучшение услуг связи</t>
  </si>
  <si>
    <t>1,3.</t>
  </si>
  <si>
    <t xml:space="preserve">Предоставление иных межбюджетных трансфертов на софинансирование расходов бюджетам муниципальных образований Туруханского района, расположенных на территории Арктической зоны Российской Федерации , на улучшение услуг связи  </t>
  </si>
  <si>
    <t>09400S6450</t>
  </si>
  <si>
    <t>Улучшение услуг связи</t>
  </si>
  <si>
    <t>Предоставление иных межбюджетных трансфертов бюджетам муниципальных образований Туруханского района, расположенных на территории Арктической зоны Российской Федерации, на улучшение связи</t>
  </si>
  <si>
    <t>0940076450</t>
  </si>
  <si>
    <t>10</t>
  </si>
  <si>
    <t>об источниках финансирования подпрограмм, отдельных мероприятий муниципальной программы Туруханского района</t>
  </si>
  <si>
    <t>(средства районного бюджета, в том числе средства, поступившие из бюджетов других уровней бюджетной системы,</t>
  </si>
  <si>
    <t>Приложение 5
к постановлению администрации  Туруханского района 
от_03.12.2025____№_967__-п</t>
  </si>
  <si>
    <t>Приложение 3
к постановлению администрации  Туруханского района 
от__03.12.2025__№__967__-п</t>
  </si>
  <si>
    <t>Приложение 4
к постановлению администрации  Туруханского района 
от__03.12.2025___№__967____-п</t>
  </si>
  <si>
    <t>Приложение 6
к постановлению администрации Туруханского района                                                                                                                                   от __03.12.2025__№ __967___ - п</t>
  </si>
  <si>
    <t>Приложение 7
к постановлению администрации Туруханского района                                                         от __03.12.2025___ № _967_ - п</t>
  </si>
</sst>
</file>

<file path=xl/styles.xml><?xml version="1.0" encoding="utf-8"?>
<styleSheet xmlns="http://schemas.openxmlformats.org/spreadsheetml/2006/main">
  <numFmts count="16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_-* #,##0.000_р_._-;\-* #,##0.000_р_._-;_-* &quot;-&quot;???_р_._-;_-@_-"/>
    <numFmt numFmtId="171" formatCode="0.000"/>
    <numFmt numFmtId="172" formatCode="_-* #,##0.0_р_._-;\-* #,##0.0_р_._-;_-* &quot;-&quot;??_р_._-;_-@_-"/>
    <numFmt numFmtId="173" formatCode="0.0000"/>
    <numFmt numFmtId="174" formatCode="[$-419]mmmm\ yyyy;@"/>
    <numFmt numFmtId="175" formatCode="_-* #,##0.0_р_._-;\-* #,##0.0_р_._-;_-* &quot;-&quot;?_р_._-;_-@_-"/>
    <numFmt numFmtId="176" formatCode="_-* #,##0.000\ _₽_-;\-* #,##0.000\ _₽_-;_-* &quot;-&quot;???\ _₽_-;_-@_-"/>
    <numFmt numFmtId="177" formatCode="#,##0.00\ _₽"/>
    <numFmt numFmtId="178" formatCode="#,##0\ _₽"/>
    <numFmt numFmtId="179" formatCode="#,##0.000\ _₽"/>
  </numFmts>
  <fonts count="44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  <font>
      <b/>
      <sz val="14"/>
      <color rgb="FFFF0000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3.5"/>
      <color rgb="FFFF0000"/>
      <name val="Times New Roman"/>
      <family val="2"/>
      <charset val="204"/>
    </font>
    <font>
      <b/>
      <sz val="13.5"/>
      <name val="Times New Roman"/>
      <family val="1"/>
      <charset val="204"/>
    </font>
    <font>
      <sz val="11"/>
      <color rgb="FFFF0000"/>
      <name val="Times New Roman"/>
      <family val="2"/>
      <charset val="204"/>
    </font>
    <font>
      <sz val="12"/>
      <color rgb="FF7030A0"/>
      <name val="Times New Roman"/>
      <family val="2"/>
      <charset val="204"/>
    </font>
    <font>
      <sz val="12"/>
      <color rgb="FFC00000"/>
      <name val="Times New Roman"/>
      <family val="2"/>
      <charset val="204"/>
    </font>
    <font>
      <sz val="13.5"/>
      <color rgb="FFC00000"/>
      <name val="Times New Roman"/>
      <family val="2"/>
      <charset val="204"/>
    </font>
    <font>
      <sz val="14"/>
      <color rgb="FF0070C0"/>
      <name val="Times New Roman"/>
      <family val="2"/>
      <charset val="204"/>
    </font>
    <font>
      <sz val="12"/>
      <color rgb="FF0070C0"/>
      <name val="Times New Roman"/>
      <family val="2"/>
      <charset val="204"/>
    </font>
    <font>
      <sz val="11"/>
      <color rgb="FF0070C0"/>
      <name val="Times New Roman"/>
      <family val="2"/>
      <charset val="204"/>
    </font>
    <font>
      <b/>
      <sz val="12"/>
      <color rgb="FF0070C0"/>
      <name val="Times New Roman"/>
      <family val="2"/>
      <charset val="204"/>
    </font>
    <font>
      <b/>
      <sz val="14"/>
      <color rgb="FF0070C0"/>
      <name val="Times New Roman"/>
      <family val="2"/>
      <charset val="204"/>
    </font>
    <font>
      <sz val="11"/>
      <name val="Arial Cy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</cellStyleXfs>
  <cellXfs count="5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8" fontId="3" fillId="0" borderId="0" xfId="2" applyNumberFormat="1" applyFont="1"/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5" fontId="6" fillId="5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71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/>
    </xf>
    <xf numFmtId="172" fontId="9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71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173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8" fillId="0" borderId="1" xfId="2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172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0" fontId="2" fillId="4" borderId="0" xfId="0" applyNumberFormat="1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5" fontId="0" fillId="0" borderId="0" xfId="0" applyNumberFormat="1"/>
    <xf numFmtId="164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165" fontId="2" fillId="7" borderId="1" xfId="2" applyNumberFormat="1" applyFont="1" applyFill="1" applyBorder="1" applyAlignment="1">
      <alignment vertical="center" wrapText="1"/>
    </xf>
    <xf numFmtId="169" fontId="18" fillId="0" borderId="0" xfId="0" applyNumberFormat="1" applyFont="1" applyBorder="1"/>
    <xf numFmtId="49" fontId="6" fillId="3" borderId="1" xfId="0" applyNumberFormat="1" applyFont="1" applyFill="1" applyBorder="1" applyAlignment="1">
      <alignment horizontal="left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165" fontId="16" fillId="7" borderId="1" xfId="2" applyNumberFormat="1" applyFont="1" applyFill="1" applyBorder="1" applyAlignment="1">
      <alignment horizontal="left" vertical="center" wrapText="1"/>
    </xf>
    <xf numFmtId="165" fontId="20" fillId="0" borderId="1" xfId="3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horizontal="left" vertical="center" wrapText="1"/>
    </xf>
    <xf numFmtId="165" fontId="21" fillId="3" borderId="1" xfId="2" applyNumberFormat="1" applyFont="1" applyFill="1" applyBorder="1" applyAlignment="1">
      <alignment horizontal="center" vertical="center" wrapText="1"/>
    </xf>
    <xf numFmtId="165" fontId="21" fillId="3" borderId="1" xfId="2" applyNumberFormat="1" applyFont="1" applyFill="1" applyBorder="1" applyAlignment="1">
      <alignment horizontal="left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Fill="1"/>
    <xf numFmtId="16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vertical="center" wrapText="1"/>
    </xf>
    <xf numFmtId="0" fontId="16" fillId="4" borderId="0" xfId="0" applyFont="1" applyFill="1"/>
    <xf numFmtId="1" fontId="16" fillId="4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left" vertical="center" wrapText="1"/>
    </xf>
    <xf numFmtId="165" fontId="19" fillId="3" borderId="1" xfId="2" applyNumberFormat="1" applyFont="1" applyFill="1" applyBorder="1" applyAlignment="1">
      <alignment horizontal="center" vertical="center" wrapText="1"/>
    </xf>
    <xf numFmtId="165" fontId="19" fillId="3" borderId="1" xfId="2" applyNumberFormat="1" applyFont="1" applyFill="1" applyBorder="1" applyAlignment="1">
      <alignment horizontal="left" vertical="center" wrapText="1"/>
    </xf>
    <xf numFmtId="49" fontId="16" fillId="7" borderId="1" xfId="0" applyNumberFormat="1" applyFont="1" applyFill="1" applyBorder="1" applyAlignment="1">
      <alignment horizontal="center" vertical="center"/>
    </xf>
    <xf numFmtId="165" fontId="16" fillId="7" borderId="1" xfId="2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174" fontId="16" fillId="0" borderId="0" xfId="0" applyNumberFormat="1" applyFont="1"/>
    <xf numFmtId="170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4" borderId="0" xfId="0" applyFont="1" applyFill="1"/>
    <xf numFmtId="168" fontId="18" fillId="0" borderId="0" xfId="2" applyNumberFormat="1" applyFont="1"/>
    <xf numFmtId="169" fontId="18" fillId="0" borderId="0" xfId="0" applyNumberFormat="1" applyFont="1"/>
    <xf numFmtId="169" fontId="18" fillId="0" borderId="12" xfId="0" applyNumberFormat="1" applyFont="1" applyBorder="1"/>
    <xf numFmtId="0" fontId="18" fillId="0" borderId="12" xfId="0" applyFont="1" applyBorder="1"/>
    <xf numFmtId="0" fontId="18" fillId="0" borderId="0" xfId="0" applyFont="1" applyBorder="1"/>
    <xf numFmtId="169" fontId="18" fillId="0" borderId="11" xfId="0" applyNumberFormat="1" applyFont="1" applyBorder="1"/>
    <xf numFmtId="0" fontId="18" fillId="0" borderId="11" xfId="0" applyFont="1" applyBorder="1"/>
    <xf numFmtId="0" fontId="6" fillId="0" borderId="1" xfId="0" applyFont="1" applyBorder="1" applyAlignment="1">
      <alignment vertical="center" wrapText="1"/>
    </xf>
    <xf numFmtId="169" fontId="6" fillId="4" borderId="1" xfId="2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164" fontId="6" fillId="5" borderId="1" xfId="2" applyFont="1" applyFill="1" applyBorder="1" applyAlignment="1">
      <alignment horizontal="center" vertical="center" wrapText="1"/>
    </xf>
    <xf numFmtId="165" fontId="16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2" fillId="7" borderId="1" xfId="0" applyFont="1" applyFill="1" applyBorder="1" applyAlignment="1">
      <alignment horizontal="center" vertical="center" wrapText="1"/>
    </xf>
    <xf numFmtId="176" fontId="1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9" fontId="6" fillId="0" borderId="1" xfId="2" applyNumberFormat="1" applyFont="1" applyBorder="1" applyAlignment="1">
      <alignment vertical="center" wrapText="1"/>
    </xf>
    <xf numFmtId="169" fontId="2" fillId="0" borderId="1" xfId="2" applyNumberFormat="1" applyFont="1" applyBorder="1" applyAlignment="1">
      <alignment vertical="center" wrapText="1"/>
    </xf>
    <xf numFmtId="170" fontId="2" fillId="0" borderId="0" xfId="0" applyNumberFormat="1" applyFont="1"/>
    <xf numFmtId="167" fontId="2" fillId="0" borderId="1" xfId="2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horizontal="right" vertical="center" wrapText="1"/>
    </xf>
    <xf numFmtId="164" fontId="30" fillId="0" borderId="1" xfId="2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0" fillId="0" borderId="1" xfId="0" applyFont="1" applyBorder="1" applyAlignment="1">
      <alignment horizontal="right" vertical="center"/>
    </xf>
    <xf numFmtId="0" fontId="2" fillId="7" borderId="1" xfId="0" applyFont="1" applyFill="1" applyBorder="1" applyAlignment="1">
      <alignment vertical="center" wrapText="1"/>
    </xf>
    <xf numFmtId="0" fontId="16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165" fontId="2" fillId="7" borderId="1" xfId="2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7" fontId="18" fillId="0" borderId="0" xfId="0" applyNumberFormat="1" applyFont="1" applyFill="1" applyAlignment="1">
      <alignment vertical="center"/>
    </xf>
    <xf numFmtId="177" fontId="14" fillId="5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9" fillId="3" borderId="1" xfId="0" applyNumberFormat="1" applyFont="1" applyFill="1" applyBorder="1" applyAlignment="1">
      <alignment horizontal="center" vertical="center"/>
    </xf>
    <xf numFmtId="177" fontId="22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177" fontId="16" fillId="7" borderId="1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Alignment="1">
      <alignment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9" fillId="3" borderId="1" xfId="0" applyNumberFormat="1" applyFont="1" applyFill="1" applyBorder="1" applyAlignment="1">
      <alignment horizontal="center" vertical="center"/>
    </xf>
    <xf numFmtId="178" fontId="16" fillId="7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8" fontId="22" fillId="5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177" fontId="16" fillId="0" borderId="1" xfId="4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30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1" fontId="3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77" fontId="38" fillId="0" borderId="0" xfId="0" applyNumberFormat="1" applyFont="1" applyFill="1" applyAlignment="1">
      <alignment vertical="center"/>
    </xf>
    <xf numFmtId="177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79" fontId="39" fillId="7" borderId="1" xfId="0" applyNumberFormat="1" applyFont="1" applyFill="1" applyBorder="1" applyAlignment="1">
      <alignment horizontal="center" vertical="center" wrapText="1"/>
    </xf>
    <xf numFmtId="177" fontId="39" fillId="3" borderId="1" xfId="0" applyNumberFormat="1" applyFont="1" applyFill="1" applyBorder="1" applyAlignment="1">
      <alignment horizontal="center" vertical="center"/>
    </xf>
    <xf numFmtId="177" fontId="39" fillId="7" borderId="1" xfId="0" applyNumberFormat="1" applyFont="1" applyFill="1" applyBorder="1" applyAlignment="1">
      <alignment horizontal="center" vertical="center" wrapText="1"/>
    </xf>
    <xf numFmtId="177" fontId="41" fillId="3" borderId="1" xfId="0" applyNumberFormat="1" applyFont="1" applyFill="1" applyBorder="1" applyAlignment="1">
      <alignment horizontal="center" vertical="center"/>
    </xf>
    <xf numFmtId="177" fontId="39" fillId="0" borderId="5" xfId="0" applyNumberFormat="1" applyFont="1" applyFill="1" applyBorder="1" applyAlignment="1">
      <alignment horizontal="center" vertical="center" wrapText="1"/>
    </xf>
    <xf numFmtId="177" fontId="39" fillId="0" borderId="8" xfId="0" applyNumberFormat="1" applyFont="1" applyFill="1" applyBorder="1" applyAlignment="1">
      <alignment horizontal="center" vertical="center" wrapText="1"/>
    </xf>
    <xf numFmtId="177" fontId="39" fillId="0" borderId="7" xfId="0" applyNumberFormat="1" applyFont="1" applyFill="1" applyBorder="1" applyAlignment="1">
      <alignment horizontal="center" vertical="center" wrapText="1"/>
    </xf>
    <xf numFmtId="177" fontId="42" fillId="5" borderId="1" xfId="0" applyNumberFormat="1" applyFont="1" applyFill="1" applyBorder="1" applyAlignment="1">
      <alignment horizontal="center" vertical="center" wrapText="1"/>
    </xf>
    <xf numFmtId="177" fontId="38" fillId="0" borderId="0" xfId="0" applyNumberFormat="1" applyFont="1" applyFill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174" fontId="16" fillId="2" borderId="1" xfId="0" applyNumberFormat="1" applyFont="1" applyFill="1" applyBorder="1" applyAlignment="1">
      <alignment vertical="center" wrapText="1"/>
    </xf>
    <xf numFmtId="174" fontId="16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2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72" fontId="2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4" fontId="32" fillId="0" borderId="1" xfId="2" applyNumberFormat="1" applyFont="1" applyFill="1" applyBorder="1" applyAlignment="1">
      <alignment vertical="center" wrapText="1"/>
    </xf>
    <xf numFmtId="0" fontId="32" fillId="0" borderId="0" xfId="0" applyFont="1"/>
    <xf numFmtId="167" fontId="32" fillId="0" borderId="1" xfId="2" applyNumberFormat="1" applyFont="1" applyFill="1" applyBorder="1" applyAlignment="1">
      <alignment vertical="center" wrapText="1"/>
    </xf>
    <xf numFmtId="167" fontId="32" fillId="0" borderId="1" xfId="2" applyNumberFormat="1" applyFont="1" applyFill="1" applyBorder="1" applyAlignment="1">
      <alignment horizontal="right" vertical="center" wrapText="1"/>
    </xf>
    <xf numFmtId="0" fontId="32" fillId="0" borderId="1" xfId="2" applyNumberFormat="1" applyFont="1" applyFill="1" applyBorder="1" applyAlignment="1">
      <alignment horizontal="right" vertical="center" wrapText="1"/>
    </xf>
    <xf numFmtId="0" fontId="32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0" xfId="0" applyNumberFormat="1" applyFont="1"/>
    <xf numFmtId="164" fontId="2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0" fontId="3" fillId="8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169" fontId="6" fillId="8" borderId="1" xfId="2" applyNumberFormat="1" applyFont="1" applyFill="1" applyBorder="1" applyAlignment="1">
      <alignment vertical="center" wrapText="1"/>
    </xf>
    <xf numFmtId="169" fontId="2" fillId="8" borderId="1" xfId="2" applyNumberFormat="1" applyFont="1" applyFill="1" applyBorder="1" applyAlignment="1">
      <alignment vertical="center" wrapText="1"/>
    </xf>
    <xf numFmtId="0" fontId="2" fillId="0" borderId="0" xfId="0" applyFont="1" applyFill="1"/>
    <xf numFmtId="170" fontId="6" fillId="5" borderId="1" xfId="2" applyNumberFormat="1" applyFont="1" applyFill="1" applyBorder="1" applyAlignment="1">
      <alignment horizontal="left" vertical="center" wrapText="1"/>
    </xf>
    <xf numFmtId="177" fontId="2" fillId="0" borderId="1" xfId="4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77" fontId="2" fillId="7" borderId="1" xfId="0" applyNumberFormat="1" applyFont="1" applyFill="1" applyBorder="1" applyAlignment="1">
      <alignment horizontal="center" vertical="center"/>
    </xf>
    <xf numFmtId="164" fontId="2" fillId="7" borderId="1" xfId="2" applyFont="1" applyFill="1" applyBorder="1" applyAlignment="1">
      <alignment horizontal="center" vertical="center" wrapText="1"/>
    </xf>
    <xf numFmtId="164" fontId="2" fillId="7" borderId="1" xfId="2" applyNumberFormat="1" applyFont="1" applyFill="1" applyBorder="1" applyAlignment="1">
      <alignment horizontal="center" vertical="center"/>
    </xf>
    <xf numFmtId="176" fontId="2" fillId="0" borderId="0" xfId="0" applyNumberFormat="1" applyFont="1"/>
    <xf numFmtId="165" fontId="2" fillId="0" borderId="0" xfId="0" applyNumberFormat="1" applyFont="1"/>
    <xf numFmtId="165" fontId="16" fillId="7" borderId="0" xfId="0" applyNumberFormat="1" applyFont="1" applyFill="1"/>
    <xf numFmtId="169" fontId="2" fillId="7" borderId="1" xfId="2" applyNumberFormat="1" applyFont="1" applyFill="1" applyBorder="1" applyAlignment="1">
      <alignment vertical="center" wrapText="1"/>
    </xf>
    <xf numFmtId="169" fontId="3" fillId="0" borderId="12" xfId="0" applyNumberFormat="1" applyFont="1" applyBorder="1"/>
    <xf numFmtId="0" fontId="3" fillId="0" borderId="12" xfId="0" applyFont="1" applyBorder="1"/>
    <xf numFmtId="169" fontId="3" fillId="0" borderId="0" xfId="0" applyNumberFormat="1" applyFont="1" applyBorder="1"/>
    <xf numFmtId="169" fontId="3" fillId="0" borderId="0" xfId="2" applyNumberFormat="1" applyFont="1" applyBorder="1"/>
    <xf numFmtId="0" fontId="3" fillId="0" borderId="0" xfId="0" applyFont="1" applyBorder="1"/>
    <xf numFmtId="169" fontId="3" fillId="0" borderId="11" xfId="0" applyNumberFormat="1" applyFont="1" applyBorder="1"/>
    <xf numFmtId="0" fontId="3" fillId="0" borderId="11" xfId="0" applyFont="1" applyBorder="1"/>
    <xf numFmtId="169" fontId="14" fillId="0" borderId="12" xfId="0" applyNumberFormat="1" applyFont="1" applyBorder="1"/>
    <xf numFmtId="169" fontId="2" fillId="0" borderId="0" xfId="0" applyNumberFormat="1" applyFont="1"/>
    <xf numFmtId="0" fontId="2" fillId="7" borderId="7" xfId="0" applyFont="1" applyFill="1" applyBorder="1" applyAlignment="1">
      <alignment horizontal="center" vertical="center" wrapText="1"/>
    </xf>
    <xf numFmtId="49" fontId="19" fillId="7" borderId="1" xfId="0" applyNumberFormat="1" applyFont="1" applyFill="1" applyBorder="1" applyAlignment="1">
      <alignment horizontal="center" vertical="center"/>
    </xf>
    <xf numFmtId="165" fontId="26" fillId="7" borderId="1" xfId="2" applyNumberFormat="1" applyFont="1" applyFill="1" applyBorder="1" applyAlignment="1">
      <alignment vertical="center" wrapText="1"/>
    </xf>
    <xf numFmtId="165" fontId="26" fillId="7" borderId="1" xfId="2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39" fillId="0" borderId="0" xfId="0" applyFont="1"/>
    <xf numFmtId="164" fontId="39" fillId="0" borderId="0" xfId="2" applyFont="1"/>
    <xf numFmtId="164" fontId="0" fillId="9" borderId="0" xfId="2" applyFont="1" applyFill="1"/>
    <xf numFmtId="165" fontId="26" fillId="0" borderId="1" xfId="2" applyNumberFormat="1" applyFont="1" applyFill="1" applyBorder="1" applyAlignment="1">
      <alignment horizontal="center" vertical="center" wrapText="1"/>
    </xf>
    <xf numFmtId="177" fontId="18" fillId="10" borderId="0" xfId="0" applyNumberFormat="1" applyFont="1" applyFill="1" applyAlignment="1">
      <alignment vertical="center"/>
    </xf>
    <xf numFmtId="0" fontId="18" fillId="10" borderId="0" xfId="0" applyFont="1" applyFill="1" applyAlignment="1">
      <alignment vertical="center"/>
    </xf>
    <xf numFmtId="177" fontId="16" fillId="10" borderId="1" xfId="0" applyNumberFormat="1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177" fontId="35" fillId="10" borderId="1" xfId="0" applyNumberFormat="1" applyFont="1" applyFill="1" applyBorder="1" applyAlignment="1">
      <alignment horizontal="center" vertical="center" wrapText="1"/>
    </xf>
    <xf numFmtId="165" fontId="16" fillId="10" borderId="1" xfId="2" applyNumberFormat="1" applyFont="1" applyFill="1" applyBorder="1" applyAlignment="1">
      <alignment vertical="center" wrapText="1"/>
    </xf>
    <xf numFmtId="177" fontId="19" fillId="10" borderId="1" xfId="0" applyNumberFormat="1" applyFont="1" applyFill="1" applyBorder="1" applyAlignment="1">
      <alignment horizontal="center" vertical="center"/>
    </xf>
    <xf numFmtId="165" fontId="19" fillId="10" borderId="1" xfId="2" applyNumberFormat="1" applyFont="1" applyFill="1" applyBorder="1" applyAlignment="1">
      <alignment vertical="center" wrapText="1"/>
    </xf>
    <xf numFmtId="177" fontId="35" fillId="10" borderId="5" xfId="0" applyNumberFormat="1" applyFont="1" applyFill="1" applyBorder="1" applyAlignment="1">
      <alignment horizontal="center" vertical="center" wrapText="1"/>
    </xf>
    <xf numFmtId="177" fontId="35" fillId="10" borderId="7" xfId="0" applyNumberFormat="1" applyFont="1" applyFill="1" applyBorder="1" applyAlignment="1">
      <alignment horizontal="center" vertical="center" wrapText="1"/>
    </xf>
    <xf numFmtId="165" fontId="26" fillId="10" borderId="1" xfId="2" applyNumberFormat="1" applyFont="1" applyFill="1" applyBorder="1" applyAlignment="1">
      <alignment vertical="center" wrapText="1"/>
    </xf>
    <xf numFmtId="177" fontId="22" fillId="10" borderId="1" xfId="0" applyNumberFormat="1" applyFont="1" applyFill="1" applyBorder="1" applyAlignment="1">
      <alignment horizontal="center" vertical="center" wrapText="1"/>
    </xf>
    <xf numFmtId="165" fontId="19" fillId="10" borderId="1" xfId="2" applyNumberFormat="1" applyFont="1" applyFill="1" applyBorder="1" applyAlignment="1">
      <alignment horizontal="left" vertical="center" wrapText="1"/>
    </xf>
    <xf numFmtId="177" fontId="18" fillId="10" borderId="0" xfId="0" applyNumberFormat="1" applyFont="1" applyFill="1" applyBorder="1" applyAlignment="1">
      <alignment vertical="center"/>
    </xf>
    <xf numFmtId="0" fontId="18" fillId="10" borderId="0" xfId="0" applyFont="1" applyFill="1" applyBorder="1" applyAlignment="1">
      <alignment horizontal="right" vertical="center"/>
    </xf>
    <xf numFmtId="4" fontId="43" fillId="10" borderId="13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top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top" wrapText="1"/>
    </xf>
    <xf numFmtId="16" fontId="31" fillId="0" borderId="2" xfId="0" applyNumberFormat="1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16" fontId="31" fillId="0" borderId="2" xfId="0" applyNumberFormat="1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1" fillId="0" borderId="4" xfId="0" applyFont="1" applyFill="1" applyBorder="1" applyAlignment="1">
      <alignment horizontal="justify" vertical="center" wrapText="1"/>
    </xf>
    <xf numFmtId="0" fontId="30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2" xfId="5" applyFont="1" applyBorder="1" applyAlignment="1">
      <alignment horizontal="left" vertical="center" wrapText="1"/>
    </xf>
    <xf numFmtId="0" fontId="31" fillId="0" borderId="3" xfId="5" applyFont="1" applyBorder="1" applyAlignment="1">
      <alignment horizontal="left" vertical="center" wrapText="1"/>
    </xf>
    <xf numFmtId="0" fontId="31" fillId="0" borderId="4" xfId="5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left"/>
    </xf>
    <xf numFmtId="49" fontId="33" fillId="0" borderId="1" xfId="0" applyNumberFormat="1" applyFont="1" applyBorder="1" applyAlignment="1">
      <alignment horizontal="left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16" fontId="6" fillId="7" borderId="2" xfId="0" applyNumberFormat="1" applyFont="1" applyFill="1" applyBorder="1" applyAlignment="1">
      <alignment horizontal="left" vertical="center" wrapText="1"/>
    </xf>
    <xf numFmtId="16" fontId="6" fillId="7" borderId="3" xfId="0" applyNumberFormat="1" applyFont="1" applyFill="1" applyBorder="1" applyAlignment="1">
      <alignment horizontal="left" vertical="center" wrapText="1"/>
    </xf>
    <xf numFmtId="16" fontId="6" fillId="7" borderId="4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6" fillId="0" borderId="1" xfId="4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49" fontId="26" fillId="7" borderId="5" xfId="0" applyNumberFormat="1" applyFont="1" applyFill="1" applyBorder="1" applyAlignment="1">
      <alignment horizontal="center" vertical="center"/>
    </xf>
    <xf numFmtId="49" fontId="26" fillId="7" borderId="8" xfId="0" applyNumberFormat="1" applyFont="1" applyFill="1" applyBorder="1" applyAlignment="1">
      <alignment horizontal="center" vertical="center"/>
    </xf>
    <xf numFmtId="49" fontId="26" fillId="7" borderId="7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7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9;&#1055;&#1056;&#1040;&#1042;&#1051;&#1045;&#1053;&#1048;&#1045;%20&#1069;&#1050;&#1054;&#1053;&#1054;&#1052;&#1048;&#1050;&#1048;/&#1052;&#1059;&#1063;&#1050;&#1040;&#1045;&#1042;&#1040;%20(&#1074;&#1099;&#1077;%20&#1080;&#1079;&#1084;&#1077;&#1085;&#1077;&#1085;&#1080;&#1103;,%20&#1088;&#1072;&#1089;&#1087;&#1086;&#1088;&#1103;&#1078;&#1077;&#1085;&#1080;&#1103;)/&#1058;&#1056;&#1040;&#1053;&#1057;&#1055;&#1054;&#1056;&#1058;/&#1048;&#1047;&#1052;&#1045;&#1053;&#1045;&#1053;&#1048;&#1071;%20&#1042;%20&#1055;&#1056;&#1054;&#1043;&#1056;&#1040;&#1052;&#1052;&#1059;/751-&#1087;%20&#1090;&#1088;&#1072;&#1085;&#1089;&#1087;&#1086;&#1088;&#1090;%20&#1080;&#1079;&#1084;&#1077;&#1085;&#1077;&#1085;&#1080;&#1103;%203%20(&#1072;&#1074;&#1075;&#1091;&#1089;&#1090;&#1086;&#1074;&#1089;&#1082;&#1072;&#1103;%20&#1089;&#1077;&#1089;&#1089;&#1080;&#1103;)/&#1086;&#1090;&#1076;&#1077;&#1083;&#1100;&#1085;&#1099;&#1077;%20&#1092;&#1072;&#1081;&#1083;&#1099;/3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6"/>
      <sheetName val="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>
        <row r="13">
          <cell r="A13" t="str">
            <v>Цель. Удовлетворение потребности населения в перевозках.</v>
          </cell>
        </row>
        <row r="14">
          <cell r="A14" t="str">
    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    </cell>
        </row>
        <row r="21">
          <cell r="A21" t="str">
            <v>Задача 2. Создание безопасных условии для перевозок  на территории района</v>
          </cell>
        </row>
        <row r="26">
          <cell r="A26" t="str">
            <v>Задача 3. Расходы на транспортировку тел умерших из населенных пунктов Туруханского района</v>
          </cell>
        </row>
        <row r="29">
          <cell r="A29" t="str">
            <v>Отдельное мероприятие. Задача 4. Содержание улично-дорожной сети</v>
          </cell>
        </row>
        <row r="32">
          <cell r="A32" t="str">
            <v>Отдельное мероприятие. Задача 5. Улучшение качества оказания услуг по перевозке пасажиров</v>
          </cell>
        </row>
        <row r="35">
          <cell r="A35" t="str">
            <v>Отдельное мероприятие. Задача 6. Улучшение качества содержания улично-дорожной сети</v>
          </cell>
        </row>
        <row r="38">
          <cell r="A38" t="str">
            <v>Отдельное мероприятие. Задача 7. Оказание услуг по проверке технического состояния автотранспортных средств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30"/>
  <sheetViews>
    <sheetView view="pageBreakPreview" topLeftCell="A4" zoomScale="70" zoomScaleNormal="70" zoomScaleSheetLayoutView="70" zoomScalePageLayoutView="70" workbookViewId="0">
      <selection activeCell="Q14" sqref="Q14:Q15"/>
    </sheetView>
  </sheetViews>
  <sheetFormatPr defaultColWidth="9" defaultRowHeight="15.75" outlineLevelRow="1"/>
  <cols>
    <col min="1" max="1" width="6.375" style="135" customWidth="1"/>
    <col min="2" max="2" width="24.375" style="136" customWidth="1"/>
    <col min="3" max="3" width="11.75" style="136" customWidth="1"/>
    <col min="4" max="4" width="8.875" style="136" customWidth="1"/>
    <col min="5" max="5" width="12" style="136" customWidth="1"/>
    <col min="6" max="6" width="12.25" style="136" customWidth="1"/>
    <col min="7" max="7" width="11" style="136" customWidth="1"/>
    <col min="8" max="8" width="13.25" style="136" customWidth="1"/>
    <col min="9" max="10" width="10.25" style="136" customWidth="1"/>
    <col min="11" max="11" width="10.25" style="137" customWidth="1"/>
    <col min="12" max="14" width="10.25" style="1" customWidth="1"/>
    <col min="15" max="18" width="10.25" style="136" customWidth="1"/>
    <col min="19" max="20" width="14.875" style="136" customWidth="1"/>
    <col min="21" max="16384" width="9" style="136"/>
  </cols>
  <sheetData>
    <row r="1" spans="1:28" ht="75.75" hidden="1" customHeight="1" outlineLevel="1">
      <c r="J1" s="426" t="s">
        <v>233</v>
      </c>
      <c r="K1" s="426"/>
      <c r="L1" s="426"/>
      <c r="M1" s="426"/>
      <c r="N1" s="426"/>
      <c r="O1" s="426"/>
      <c r="P1" s="426"/>
      <c r="Q1" s="426"/>
      <c r="R1" s="426"/>
      <c r="S1" s="426"/>
      <c r="T1" s="426"/>
    </row>
    <row r="2" spans="1:28" hidden="1" outlineLevel="1"/>
    <row r="3" spans="1:28" hidden="1" outlineLevel="1"/>
    <row r="4" spans="1:28" ht="18.75" collapsed="1">
      <c r="A4" s="2"/>
      <c r="B4" s="1"/>
      <c r="C4" s="1"/>
      <c r="D4" s="1"/>
      <c r="E4" s="1"/>
      <c r="F4" s="1"/>
      <c r="G4" s="1"/>
      <c r="H4" s="1"/>
      <c r="I4" s="1"/>
      <c r="K4" s="210"/>
      <c r="L4" s="209"/>
      <c r="M4" s="209" t="s">
        <v>10</v>
      </c>
      <c r="N4" s="209"/>
      <c r="O4" s="209"/>
      <c r="P4" s="209"/>
      <c r="Q4" s="209"/>
      <c r="R4" s="209"/>
      <c r="S4" s="211"/>
      <c r="T4" s="211"/>
    </row>
    <row r="5" spans="1:28" ht="45.75" customHeight="1">
      <c r="A5" s="2"/>
      <c r="B5" s="1"/>
      <c r="C5" s="1"/>
      <c r="D5" s="1"/>
      <c r="E5" s="1"/>
      <c r="F5" s="1"/>
      <c r="G5" s="1"/>
      <c r="H5" s="1"/>
      <c r="I5" s="1"/>
      <c r="K5" s="346"/>
      <c r="L5" s="346"/>
      <c r="M5" s="425" t="s">
        <v>132</v>
      </c>
      <c r="N5" s="425"/>
      <c r="O5" s="425"/>
      <c r="P5" s="425"/>
      <c r="Q5" s="425"/>
      <c r="R5" s="425"/>
      <c r="S5" s="425"/>
      <c r="T5" s="425"/>
    </row>
    <row r="6" spans="1:28">
      <c r="A6" s="2"/>
      <c r="B6" s="1"/>
      <c r="C6" s="1"/>
      <c r="D6" s="1"/>
      <c r="E6" s="1"/>
      <c r="F6" s="1"/>
      <c r="G6" s="1"/>
      <c r="H6" s="1"/>
      <c r="I6" s="1"/>
      <c r="J6" s="1"/>
      <c r="K6" s="193"/>
      <c r="O6" s="1"/>
      <c r="P6" s="1"/>
      <c r="Q6" s="1"/>
      <c r="R6" s="1"/>
      <c r="S6" s="1"/>
      <c r="T6" s="1"/>
    </row>
    <row r="7" spans="1:28">
      <c r="A7" s="2"/>
      <c r="B7" s="1"/>
      <c r="C7" s="1"/>
      <c r="D7" s="1"/>
      <c r="E7" s="1"/>
      <c r="F7" s="1"/>
      <c r="G7" s="1"/>
      <c r="H7" s="1"/>
      <c r="I7" s="1"/>
      <c r="J7" s="1"/>
      <c r="K7" s="193"/>
      <c r="O7" s="1"/>
      <c r="P7" s="1"/>
      <c r="Q7" s="1"/>
      <c r="R7" s="1"/>
      <c r="S7" s="1"/>
      <c r="T7" s="1"/>
    </row>
    <row r="8" spans="1:28" ht="18.75">
      <c r="A8" s="430" t="s">
        <v>1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  <c r="T8" s="430"/>
    </row>
    <row r="9" spans="1:28" ht="18.75">
      <c r="A9" s="430" t="s">
        <v>9</v>
      </c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  <c r="T9" s="430"/>
    </row>
    <row r="10" spans="1:28" ht="18.75">
      <c r="A10" s="430" t="s">
        <v>7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</row>
    <row r="11" spans="1:28" ht="18.75">
      <c r="A11" s="430" t="s">
        <v>8</v>
      </c>
      <c r="B11" s="430"/>
      <c r="C11" s="430"/>
      <c r="D11" s="430"/>
      <c r="E11" s="430"/>
      <c r="F11" s="430"/>
      <c r="G11" s="430"/>
      <c r="H11" s="430"/>
      <c r="I11" s="430"/>
      <c r="J11" s="430"/>
      <c r="K11" s="430"/>
      <c r="L11" s="430"/>
      <c r="M11" s="430"/>
      <c r="N11" s="430"/>
      <c r="O11" s="430"/>
      <c r="P11" s="430"/>
      <c r="Q11" s="430"/>
      <c r="R11" s="430"/>
      <c r="S11" s="430"/>
      <c r="T11" s="430"/>
    </row>
    <row r="12" spans="1:28" ht="18.75">
      <c r="A12" s="203"/>
      <c r="B12" s="1"/>
      <c r="C12" s="1"/>
      <c r="D12" s="1"/>
      <c r="E12" s="1"/>
      <c r="F12" s="1"/>
      <c r="G12" s="1"/>
      <c r="H12" s="1"/>
      <c r="I12" s="1"/>
      <c r="J12" s="1"/>
      <c r="K12" s="193"/>
      <c r="O12" s="1"/>
      <c r="P12" s="1"/>
      <c r="Q12" s="1"/>
      <c r="R12" s="1"/>
      <c r="S12" s="1"/>
      <c r="T12" s="1"/>
      <c r="AB12" s="136" t="s">
        <v>357</v>
      </c>
    </row>
    <row r="13" spans="1:28" ht="24.75" customHeight="1">
      <c r="A13" s="421" t="s">
        <v>19</v>
      </c>
      <c r="B13" s="421" t="s">
        <v>4</v>
      </c>
      <c r="C13" s="421" t="s">
        <v>2</v>
      </c>
      <c r="D13" s="421" t="s">
        <v>85</v>
      </c>
      <c r="E13" s="421" t="s">
        <v>5</v>
      </c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</row>
    <row r="14" spans="1:28" ht="72" customHeight="1">
      <c r="A14" s="421"/>
      <c r="B14" s="421"/>
      <c r="C14" s="421"/>
      <c r="D14" s="421"/>
      <c r="E14" s="421" t="s">
        <v>52</v>
      </c>
      <c r="F14" s="421" t="s">
        <v>53</v>
      </c>
      <c r="G14" s="431" t="s">
        <v>57</v>
      </c>
      <c r="H14" s="421" t="s">
        <v>49</v>
      </c>
      <c r="I14" s="421" t="s">
        <v>50</v>
      </c>
      <c r="J14" s="421" t="s">
        <v>51</v>
      </c>
      <c r="K14" s="421" t="s">
        <v>54</v>
      </c>
      <c r="L14" s="421" t="s">
        <v>244</v>
      </c>
      <c r="M14" s="423" t="s">
        <v>265</v>
      </c>
      <c r="N14" s="423" t="s">
        <v>290</v>
      </c>
      <c r="O14" s="423" t="s">
        <v>298</v>
      </c>
      <c r="P14" s="423" t="s">
        <v>55</v>
      </c>
      <c r="Q14" s="423" t="s">
        <v>325</v>
      </c>
      <c r="R14" s="423" t="s">
        <v>368</v>
      </c>
      <c r="S14" s="422" t="s">
        <v>6</v>
      </c>
      <c r="T14" s="422"/>
      <c r="AA14" s="136">
        <v>280</v>
      </c>
      <c r="AB14" s="136">
        <v>288.5</v>
      </c>
    </row>
    <row r="15" spans="1:28">
      <c r="A15" s="421"/>
      <c r="B15" s="421"/>
      <c r="C15" s="421"/>
      <c r="D15" s="421"/>
      <c r="E15" s="421"/>
      <c r="F15" s="421"/>
      <c r="G15" s="431"/>
      <c r="H15" s="421"/>
      <c r="I15" s="421"/>
      <c r="J15" s="421"/>
      <c r="K15" s="421"/>
      <c r="L15" s="421"/>
      <c r="M15" s="424"/>
      <c r="N15" s="424"/>
      <c r="O15" s="424"/>
      <c r="P15" s="424"/>
      <c r="Q15" s="424"/>
      <c r="R15" s="424"/>
      <c r="S15" s="204" t="s">
        <v>373</v>
      </c>
      <c r="T15" s="204" t="s">
        <v>56</v>
      </c>
      <c r="AA15" s="136">
        <v>117.5</v>
      </c>
    </row>
    <row r="16" spans="1:28">
      <c r="A16" s="204">
        <v>1</v>
      </c>
      <c r="B16" s="204">
        <v>2</v>
      </c>
      <c r="C16" s="204">
        <v>3</v>
      </c>
      <c r="D16" s="204">
        <v>4</v>
      </c>
      <c r="E16" s="204">
        <v>5</v>
      </c>
      <c r="F16" s="204">
        <v>6</v>
      </c>
      <c r="G16" s="204">
        <v>7</v>
      </c>
      <c r="H16" s="204">
        <v>8</v>
      </c>
      <c r="I16" s="204">
        <v>9</v>
      </c>
      <c r="J16" s="204">
        <v>10</v>
      </c>
      <c r="K16" s="204">
        <v>11</v>
      </c>
      <c r="L16" s="237">
        <v>12</v>
      </c>
      <c r="M16" s="237">
        <v>13</v>
      </c>
      <c r="N16" s="237">
        <v>14</v>
      </c>
      <c r="O16" s="204">
        <v>15</v>
      </c>
      <c r="P16" s="333">
        <v>16</v>
      </c>
      <c r="Q16" s="333">
        <v>17</v>
      </c>
      <c r="R16" s="333">
        <v>18</v>
      </c>
      <c r="S16" s="333">
        <v>19</v>
      </c>
      <c r="T16" s="333">
        <v>20</v>
      </c>
      <c r="AA16" s="136">
        <f>AA14-AA15</f>
        <v>162.5</v>
      </c>
    </row>
    <row r="17" spans="1:27" s="140" customFormat="1">
      <c r="A17" s="205">
        <v>1</v>
      </c>
      <c r="B17" s="428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8"/>
      <c r="T17" s="428"/>
    </row>
    <row r="18" spans="1:27" s="370" customFormat="1" ht="71.25" customHeight="1">
      <c r="A18" s="427" t="s">
        <v>3</v>
      </c>
      <c r="B18" s="432" t="s">
        <v>129</v>
      </c>
      <c r="C18" s="353" t="s">
        <v>65</v>
      </c>
      <c r="D18" s="317">
        <f>E18</f>
        <v>120.8</v>
      </c>
      <c r="E18" s="32">
        <f>F18</f>
        <v>120.8</v>
      </c>
      <c r="F18" s="32">
        <v>120.8</v>
      </c>
      <c r="G18" s="32">
        <v>130.023</v>
      </c>
      <c r="H18" s="318">
        <v>156.34</v>
      </c>
      <c r="I18" s="319">
        <v>157.30000000000001</v>
      </c>
      <c r="J18" s="319">
        <v>162.30000000000001</v>
      </c>
      <c r="K18" s="319">
        <f>J18</f>
        <v>162.30000000000001</v>
      </c>
      <c r="L18" s="319">
        <v>162.5</v>
      </c>
      <c r="M18" s="319">
        <v>171.6</v>
      </c>
      <c r="N18" s="319">
        <v>172.4</v>
      </c>
      <c r="O18" s="319">
        <v>172.6</v>
      </c>
      <c r="P18" s="319">
        <v>172.7</v>
      </c>
      <c r="Q18" s="319">
        <v>172.7</v>
      </c>
      <c r="R18" s="319">
        <v>172.7</v>
      </c>
      <c r="S18" s="319">
        <v>172.9</v>
      </c>
      <c r="T18" s="319">
        <v>172.9</v>
      </c>
      <c r="V18" s="370" t="s">
        <v>358</v>
      </c>
      <c r="X18" s="370" t="s">
        <v>291</v>
      </c>
      <c r="Y18" s="370">
        <v>280.2</v>
      </c>
    </row>
    <row r="19" spans="1:27" s="370" customFormat="1" ht="71.25" customHeight="1">
      <c r="A19" s="427"/>
      <c r="B19" s="432"/>
      <c r="C19" s="353" t="s">
        <v>128</v>
      </c>
      <c r="D19" s="319">
        <f t="shared" ref="D19:L19" si="0">D18/$AA$14*100</f>
        <v>43.142857142857146</v>
      </c>
      <c r="E19" s="319">
        <f t="shared" si="0"/>
        <v>43.142857142857146</v>
      </c>
      <c r="F19" s="319">
        <f t="shared" si="0"/>
        <v>43.142857142857146</v>
      </c>
      <c r="G19" s="319">
        <f t="shared" si="0"/>
        <v>46.436785714285712</v>
      </c>
      <c r="H19" s="319">
        <f t="shared" si="0"/>
        <v>55.835714285714289</v>
      </c>
      <c r="I19" s="319">
        <f t="shared" si="0"/>
        <v>56.178571428571431</v>
      </c>
      <c r="J19" s="319">
        <f t="shared" si="0"/>
        <v>57.964285714285722</v>
      </c>
      <c r="K19" s="319">
        <f t="shared" si="0"/>
        <v>57.964285714285722</v>
      </c>
      <c r="L19" s="318">
        <f t="shared" si="0"/>
        <v>58.035714285714292</v>
      </c>
      <c r="M19" s="318">
        <f t="shared" ref="M19:T19" si="1">M18/$AB$14*100</f>
        <v>59.480069324090124</v>
      </c>
      <c r="N19" s="318">
        <f t="shared" si="1"/>
        <v>59.75736568457539</v>
      </c>
      <c r="O19" s="318">
        <f t="shared" si="1"/>
        <v>59.826689774696703</v>
      </c>
      <c r="P19" s="318">
        <f t="shared" si="1"/>
        <v>59.86135181975736</v>
      </c>
      <c r="Q19" s="318">
        <f t="shared" si="1"/>
        <v>59.86135181975736</v>
      </c>
      <c r="R19" s="318">
        <f t="shared" si="1"/>
        <v>59.86135181975736</v>
      </c>
      <c r="S19" s="318">
        <f t="shared" si="1"/>
        <v>59.930675909878687</v>
      </c>
      <c r="T19" s="318">
        <f t="shared" si="1"/>
        <v>59.930675909878687</v>
      </c>
      <c r="X19" s="370" t="s">
        <v>292</v>
      </c>
      <c r="Y19" s="370">
        <v>117.9</v>
      </c>
      <c r="AA19" s="370">
        <f>Y18-Y19</f>
        <v>162.29999999999998</v>
      </c>
    </row>
    <row r="20" spans="1:27">
      <c r="A20" s="204">
        <v>2</v>
      </c>
      <c r="B20" s="420" t="str">
        <f>'пр 5 к МП'!B19:E19</f>
        <v>Цель муниципальной программы Туруханского района: повышение доступности транспортных услуг</v>
      </c>
      <c r="C20" s="420"/>
      <c r="D20" s="420"/>
      <c r="E20" s="420"/>
      <c r="F20" s="420"/>
      <c r="G20" s="420"/>
      <c r="H20" s="420"/>
      <c r="I20" s="420"/>
      <c r="J20" s="420"/>
      <c r="K20" s="420"/>
      <c r="L20" s="420"/>
      <c r="M20" s="420"/>
      <c r="N20" s="420"/>
      <c r="O20" s="420"/>
      <c r="P20" s="420"/>
      <c r="Q20" s="420"/>
      <c r="R20" s="420"/>
      <c r="S20" s="420"/>
      <c r="T20" s="420"/>
      <c r="Y20" s="136">
        <f>Y19/Y18</f>
        <v>0.42077087794432549</v>
      </c>
    </row>
    <row r="21" spans="1:27" s="140" customFormat="1" ht="92.25" customHeight="1">
      <c r="A21" s="212" t="s">
        <v>80</v>
      </c>
      <c r="B21" s="206" t="s">
        <v>307</v>
      </c>
      <c r="C21" s="205" t="s">
        <v>116</v>
      </c>
      <c r="D21" s="201">
        <f t="shared" ref="D21:I21" si="2">(D22+D23)*1000/D24</f>
        <v>10.308282644534136</v>
      </c>
      <c r="E21" s="201">
        <f t="shared" si="2"/>
        <v>10.85274313484396</v>
      </c>
      <c r="F21" s="201">
        <f t="shared" si="2"/>
        <v>11.089342349350726</v>
      </c>
      <c r="G21" s="201">
        <f t="shared" si="2"/>
        <v>11.364549716860502</v>
      </c>
      <c r="H21" s="201">
        <f>(H22+H23)*1000/H24</f>
        <v>11.791987099975191</v>
      </c>
      <c r="I21" s="201">
        <f t="shared" si="2"/>
        <v>10.832195245321193</v>
      </c>
      <c r="J21" s="201">
        <f>(J22+J23)*1000/J24</f>
        <v>11.157766367137356</v>
      </c>
      <c r="K21" s="201">
        <f>(K22+K23)*1000/K24</f>
        <v>13.080870917573872</v>
      </c>
      <c r="L21" s="201">
        <f t="shared" ref="L21:T21" si="3">(L22+L23)*1000/L24</f>
        <v>11.168942542384062</v>
      </c>
      <c r="M21" s="201">
        <f t="shared" si="3"/>
        <v>14.22357432593653</v>
      </c>
      <c r="N21" s="201">
        <f t="shared" si="3"/>
        <v>12.618044992394527</v>
      </c>
      <c r="O21" s="201">
        <f t="shared" si="3"/>
        <v>12.763966593691723</v>
      </c>
      <c r="P21" s="201">
        <f t="shared" si="3"/>
        <v>12.930530464772545</v>
      </c>
      <c r="Q21" s="201">
        <f>(Q22+Q23)*1000/Q24</f>
        <v>13.10029940119761</v>
      </c>
      <c r="R21" s="201">
        <f>(R22+R23)*1000/R24</f>
        <v>13.103367983367988</v>
      </c>
      <c r="S21" s="201">
        <f t="shared" si="3"/>
        <v>13.188917719929695</v>
      </c>
      <c r="T21" s="201">
        <f t="shared" si="3"/>
        <v>13.191998660863749</v>
      </c>
    </row>
    <row r="22" spans="1:27" s="145" customFormat="1" ht="31.5" hidden="1" outlineLevel="1">
      <c r="A22" s="141"/>
      <c r="B22" s="142" t="s">
        <v>141</v>
      </c>
      <c r="C22" s="143" t="s">
        <v>73</v>
      </c>
      <c r="D22" s="241">
        <v>9.3330000000000002</v>
      </c>
      <c r="E22" s="241">
        <f>(777+712+747+993+692+638+635+689+608+702+764+974)/1000</f>
        <v>8.9309999999999992</v>
      </c>
      <c r="F22" s="241">
        <f>(667+666+804+826+713+647+657+674+580+594+714+762)/1000</f>
        <v>8.3040000000000003</v>
      </c>
      <c r="G22" s="241">
        <v>8.2880000000000003</v>
      </c>
      <c r="H22" s="241">
        <v>7.5739999999999998</v>
      </c>
      <c r="I22" s="241">
        <v>7.8719999999999999</v>
      </c>
      <c r="J22" s="241">
        <v>7.3879999999999999</v>
      </c>
      <c r="K22" s="241">
        <v>7.0739999999999998</v>
      </c>
      <c r="L22" s="241">
        <v>5.97</v>
      </c>
      <c r="M22" s="241">
        <v>6.6829999999999998</v>
      </c>
      <c r="N22" s="241">
        <v>6.9130000000000003</v>
      </c>
      <c r="O22" s="144">
        <v>6.6689999999999996</v>
      </c>
      <c r="P22" s="144">
        <f>O22</f>
        <v>6.6689999999999996</v>
      </c>
      <c r="Q22" s="144">
        <f t="shared" ref="Q22:T22" si="4">P22</f>
        <v>6.6689999999999996</v>
      </c>
      <c r="R22" s="144">
        <f t="shared" si="4"/>
        <v>6.6689999999999996</v>
      </c>
      <c r="S22" s="144">
        <f>Q22</f>
        <v>6.6689999999999996</v>
      </c>
      <c r="T22" s="144">
        <f t="shared" si="4"/>
        <v>6.6689999999999996</v>
      </c>
      <c r="U22" s="140"/>
      <c r="X22" s="145">
        <f>Y22/Z22</f>
        <v>8750.4156067643489</v>
      </c>
      <c r="Y22" s="145">
        <f>745+450+643+899+919+825+673+707</f>
        <v>5861</v>
      </c>
      <c r="Z22" s="145">
        <f>AVERAGE(Z23:Z24)</f>
        <v>0.66979675747849754</v>
      </c>
      <c r="AA22" s="145">
        <f>700*5</f>
        <v>3500</v>
      </c>
    </row>
    <row r="23" spans="1:27" s="145" customFormat="1" ht="31.5" hidden="1" outlineLevel="1">
      <c r="A23" s="141"/>
      <c r="B23" s="142" t="s">
        <v>142</v>
      </c>
      <c r="C23" s="143" t="s">
        <v>73</v>
      </c>
      <c r="D23" s="241">
        <v>172</v>
      </c>
      <c r="E23" s="241">
        <v>176.423</v>
      </c>
      <c r="F23" s="241">
        <v>177.01</v>
      </c>
      <c r="G23" s="241">
        <v>178.352</v>
      </c>
      <c r="H23" s="241">
        <v>182.56</v>
      </c>
      <c r="I23" s="241">
        <v>163.44999999999999</v>
      </c>
      <c r="J23" s="241">
        <v>166.45</v>
      </c>
      <c r="K23" s="241">
        <v>194.79</v>
      </c>
      <c r="L23" s="241">
        <v>163.34</v>
      </c>
      <c r="M23" s="241">
        <f>'+ пр к пасп ПП2'!E16</f>
        <v>172.15</v>
      </c>
      <c r="N23" s="241">
        <v>150.69900000000001</v>
      </c>
      <c r="O23" s="144">
        <f>N23+5%</f>
        <v>150.74900000000002</v>
      </c>
      <c r="P23" s="144">
        <f t="shared" ref="P23:T23" si="5">O23+5%</f>
        <v>150.79900000000004</v>
      </c>
      <c r="Q23" s="144">
        <f t="shared" si="5"/>
        <v>150.84900000000005</v>
      </c>
      <c r="R23" s="144">
        <f t="shared" si="5"/>
        <v>150.89900000000006</v>
      </c>
      <c r="S23" s="144">
        <f>Q23+5%</f>
        <v>150.89900000000006</v>
      </c>
      <c r="T23" s="144">
        <f t="shared" si="5"/>
        <v>150.94900000000007</v>
      </c>
      <c r="U23" s="140"/>
      <c r="X23" s="145">
        <f>777+712+747+993+692+638+635+689+608+702+764+974</f>
        <v>8931</v>
      </c>
      <c r="Y23" s="145">
        <f>777+712+747+993+692+638+635+689</f>
        <v>5883</v>
      </c>
      <c r="Z23" s="145">
        <f>Y23/X23</f>
        <v>0.65871682902250583</v>
      </c>
    </row>
    <row r="24" spans="1:27" s="145" customFormat="1" ht="31.5" hidden="1" outlineLevel="1">
      <c r="A24" s="141"/>
      <c r="B24" s="142" t="s">
        <v>118</v>
      </c>
      <c r="C24" s="143" t="s">
        <v>78</v>
      </c>
      <c r="D24" s="295">
        <v>17591</v>
      </c>
      <c r="E24" s="295">
        <v>17079</v>
      </c>
      <c r="F24" s="295">
        <v>16711</v>
      </c>
      <c r="G24" s="295">
        <v>16423</v>
      </c>
      <c r="H24" s="295">
        <v>16124</v>
      </c>
      <c r="I24" s="295">
        <v>15816</v>
      </c>
      <c r="J24" s="295">
        <v>15580</v>
      </c>
      <c r="K24" s="242">
        <v>15432</v>
      </c>
      <c r="L24" s="242">
        <v>15159</v>
      </c>
      <c r="M24" s="242">
        <v>12573</v>
      </c>
      <c r="N24" s="242">
        <v>12491</v>
      </c>
      <c r="O24" s="146">
        <v>12333</v>
      </c>
      <c r="P24" s="146">
        <v>12178</v>
      </c>
      <c r="Q24" s="146">
        <v>12024</v>
      </c>
      <c r="R24" s="146">
        <v>12025</v>
      </c>
      <c r="S24" s="146">
        <v>11947</v>
      </c>
      <c r="T24" s="146">
        <f t="shared" ref="T24" si="6">S24+1</f>
        <v>11948</v>
      </c>
      <c r="U24" s="140"/>
      <c r="X24" s="145">
        <f>667+666+804+826+713+647+657+674+580+594+714+762</f>
        <v>8304</v>
      </c>
      <c r="Y24" s="145">
        <f>667+666+804+826+713+647+657+674</f>
        <v>5654</v>
      </c>
      <c r="Z24" s="145">
        <f>Y24/X24</f>
        <v>0.68087668593448936</v>
      </c>
    </row>
    <row r="25" spans="1:27" ht="15.75" customHeight="1" collapsed="1">
      <c r="A25" s="204">
        <v>3</v>
      </c>
      <c r="B25" s="420" t="str">
        <f>'пр 5 к МП'!B29:E29</f>
        <v>Цель муниципальной программы Туруханского района: повышение безопасности дорожного движения</v>
      </c>
      <c r="C25" s="420"/>
      <c r="D25" s="420"/>
      <c r="E25" s="420"/>
      <c r="F25" s="420"/>
      <c r="G25" s="420"/>
      <c r="H25" s="420"/>
      <c r="I25" s="420"/>
      <c r="J25" s="420"/>
      <c r="K25" s="420"/>
      <c r="L25" s="420"/>
      <c r="M25" s="420"/>
      <c r="N25" s="420"/>
      <c r="O25" s="420"/>
      <c r="P25" s="420"/>
      <c r="Q25" s="420"/>
      <c r="R25" s="420"/>
      <c r="S25" s="420"/>
      <c r="T25" s="420"/>
      <c r="U25" s="140"/>
    </row>
    <row r="26" spans="1:27" ht="54" customHeight="1">
      <c r="A26" s="213" t="s">
        <v>110</v>
      </c>
      <c r="B26" s="207" t="s">
        <v>77</v>
      </c>
      <c r="C26" s="204" t="s">
        <v>78</v>
      </c>
      <c r="D26" s="204">
        <v>2</v>
      </c>
      <c r="E26" s="204">
        <v>1</v>
      </c>
      <c r="F26" s="204">
        <v>2</v>
      </c>
      <c r="G26" s="204">
        <v>0</v>
      </c>
      <c r="H26" s="205">
        <v>3</v>
      </c>
      <c r="I26" s="205">
        <v>3</v>
      </c>
      <c r="J26" s="205">
        <v>0</v>
      </c>
      <c r="K26" s="205">
        <v>1</v>
      </c>
      <c r="L26" s="238">
        <v>1</v>
      </c>
      <c r="M26" s="238">
        <v>0</v>
      </c>
      <c r="N26" s="238">
        <v>2</v>
      </c>
      <c r="O26" s="205">
        <v>1</v>
      </c>
      <c r="P26" s="246">
        <v>1</v>
      </c>
      <c r="Q26" s="282">
        <v>1</v>
      </c>
      <c r="R26" s="296">
        <v>1</v>
      </c>
      <c r="S26" s="205">
        <v>1</v>
      </c>
      <c r="T26" s="205">
        <v>1</v>
      </c>
      <c r="U26" s="140"/>
    </row>
    <row r="27" spans="1:27" s="140" customFormat="1">
      <c r="A27" s="205">
        <v>4</v>
      </c>
      <c r="B27" s="420" t="str">
        <f>'пр 5 к МП'!B34:E34</f>
        <v>Цель муниципальной программы Туруханского района: развитие телекоммуникационных услуг на территории района</v>
      </c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</row>
    <row r="28" spans="1:27" s="140" customFormat="1" ht="47.25">
      <c r="A28" s="212" t="s">
        <v>111</v>
      </c>
      <c r="B28" s="128" t="s">
        <v>84</v>
      </c>
      <c r="C28" s="205" t="s">
        <v>83</v>
      </c>
      <c r="D28" s="205">
        <v>8</v>
      </c>
      <c r="E28" s="205">
        <v>8</v>
      </c>
      <c r="F28" s="205">
        <v>8</v>
      </c>
      <c r="G28" s="205">
        <v>8</v>
      </c>
      <c r="H28" s="205">
        <v>8</v>
      </c>
      <c r="I28" s="205">
        <v>8</v>
      </c>
      <c r="J28" s="194">
        <v>11</v>
      </c>
      <c r="K28" s="194">
        <v>11</v>
      </c>
      <c r="L28" s="238">
        <v>11</v>
      </c>
      <c r="M28" s="238">
        <v>11</v>
      </c>
      <c r="N28" s="238">
        <v>11</v>
      </c>
      <c r="O28" s="205">
        <v>11</v>
      </c>
      <c r="P28" s="246">
        <v>11</v>
      </c>
      <c r="Q28" s="282">
        <v>11</v>
      </c>
      <c r="R28" s="296">
        <v>11</v>
      </c>
      <c r="S28" s="205">
        <v>11</v>
      </c>
      <c r="T28" s="205">
        <v>11</v>
      </c>
    </row>
    <row r="29" spans="1:27" ht="38.25" customHeight="1">
      <c r="A29" s="429" t="s">
        <v>308</v>
      </c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</row>
    <row r="30" spans="1:27" ht="18.75">
      <c r="A30" s="138"/>
    </row>
  </sheetData>
  <mergeCells count="33">
    <mergeCell ref="A29:T29"/>
    <mergeCell ref="A8:T8"/>
    <mergeCell ref="A9:T9"/>
    <mergeCell ref="A10:T10"/>
    <mergeCell ref="A11:T11"/>
    <mergeCell ref="A13:A15"/>
    <mergeCell ref="B13:B15"/>
    <mergeCell ref="C13:C15"/>
    <mergeCell ref="D13:D15"/>
    <mergeCell ref="E13:T13"/>
    <mergeCell ref="E14:E15"/>
    <mergeCell ref="F14:F15"/>
    <mergeCell ref="G14:G15"/>
    <mergeCell ref="B18:B19"/>
    <mergeCell ref="B27:T27"/>
    <mergeCell ref="B25:T25"/>
    <mergeCell ref="M5:T5"/>
    <mergeCell ref="I14:I15"/>
    <mergeCell ref="J1:T1"/>
    <mergeCell ref="R14:R15"/>
    <mergeCell ref="A18:A19"/>
    <mergeCell ref="J14:J15"/>
    <mergeCell ref="B17:T17"/>
    <mergeCell ref="B20:T20"/>
    <mergeCell ref="K14:K15"/>
    <mergeCell ref="S14:T14"/>
    <mergeCell ref="L14:L15"/>
    <mergeCell ref="M14:M15"/>
    <mergeCell ref="O14:O15"/>
    <mergeCell ref="N14:N15"/>
    <mergeCell ref="H14:H15"/>
    <mergeCell ref="Q14:Q15"/>
    <mergeCell ref="P14:P15"/>
  </mergeCells>
  <pageMargins left="0.78740157480314965" right="0.78740157480314965" top="1.1811023622047245" bottom="0.39370078740157483" header="0.31496062992125984" footer="0.31496062992125984"/>
  <pageSetup paperSize="9" scale="52" firstPageNumber="33" fitToHeight="0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0.59999389629810485"/>
    <pageSetUpPr fitToPage="1"/>
  </sheetPr>
  <dimension ref="A1:G39"/>
  <sheetViews>
    <sheetView view="pageBreakPreview" zoomScaleSheetLayoutView="100" workbookViewId="0">
      <selection activeCell="Q14" sqref="Q14:Q15"/>
    </sheetView>
  </sheetViews>
  <sheetFormatPr defaultColWidth="9" defaultRowHeight="15.75" outlineLevelRow="1"/>
  <cols>
    <col min="1" max="1" width="6.625" style="297" customWidth="1"/>
    <col min="2" max="2" width="15.75" style="136" customWidth="1"/>
    <col min="3" max="3" width="62.125" style="136" customWidth="1"/>
    <col min="4" max="4" width="20" style="136" customWidth="1"/>
    <col min="5" max="5" width="16.375" style="168" customWidth="1"/>
    <col min="6" max="6" width="13.25" style="136" customWidth="1"/>
    <col min="7" max="16384" width="9" style="136"/>
  </cols>
  <sheetData>
    <row r="1" spans="1:5" s="1" customFormat="1" ht="18.75">
      <c r="A1" s="2"/>
      <c r="D1" s="520" t="s">
        <v>387</v>
      </c>
      <c r="E1" s="520"/>
    </row>
    <row r="2" spans="1:5" s="1" customFormat="1" ht="73.5" customHeight="1">
      <c r="A2" s="2"/>
      <c r="D2" s="425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E2" s="425"/>
    </row>
    <row r="3" spans="1:5" s="1" customFormat="1" ht="18.75">
      <c r="A3" s="321"/>
      <c r="E3" s="348"/>
    </row>
    <row r="4" spans="1:5" s="1" customFormat="1" ht="18.75">
      <c r="A4" s="321"/>
      <c r="E4" s="348"/>
    </row>
    <row r="5" spans="1:5" s="1" customFormat="1" ht="18.75">
      <c r="A5" s="430" t="s">
        <v>0</v>
      </c>
      <c r="B5" s="430"/>
      <c r="C5" s="430"/>
      <c r="D5" s="430"/>
      <c r="E5" s="430"/>
    </row>
    <row r="6" spans="1:5" s="1" customFormat="1" ht="18.75">
      <c r="A6" s="430" t="s">
        <v>16</v>
      </c>
      <c r="B6" s="430"/>
      <c r="C6" s="430"/>
      <c r="D6" s="430"/>
      <c r="E6" s="430"/>
    </row>
    <row r="7" spans="1:5" s="1" customFormat="1" ht="18.75">
      <c r="A7" s="430" t="s">
        <v>17</v>
      </c>
      <c r="B7" s="430"/>
      <c r="C7" s="430"/>
      <c r="D7" s="430"/>
      <c r="E7" s="430"/>
    </row>
    <row r="8" spans="1:5" s="1" customFormat="1" ht="18.75">
      <c r="A8" s="430" t="s">
        <v>18</v>
      </c>
      <c r="B8" s="430"/>
      <c r="C8" s="430"/>
      <c r="D8" s="430"/>
      <c r="E8" s="430"/>
    </row>
    <row r="9" spans="1:5" s="1" customFormat="1" ht="18.75">
      <c r="A9" s="430" t="str">
        <f>CONCATENATE("Туруханского района """,'+ Приложение 6'!C15,"""")</f>
        <v>Туруханского района "Развитие транспортной системы и связи Туруханского района"</v>
      </c>
      <c r="B9" s="430"/>
      <c r="C9" s="430"/>
      <c r="D9" s="430"/>
      <c r="E9" s="430"/>
    </row>
    <row r="10" spans="1:5" s="1" customFormat="1" ht="18.75">
      <c r="A10" s="321"/>
      <c r="E10" s="348"/>
    </row>
    <row r="11" spans="1:5" s="1" customFormat="1" ht="63">
      <c r="A11" s="320" t="s">
        <v>19</v>
      </c>
      <c r="B11" s="320" t="s">
        <v>11</v>
      </c>
      <c r="C11" s="320" t="s">
        <v>12</v>
      </c>
      <c r="D11" s="320" t="s">
        <v>13</v>
      </c>
      <c r="E11" s="347" t="s">
        <v>14</v>
      </c>
    </row>
    <row r="12" spans="1:5" s="1" customFormat="1">
      <c r="A12" s="320">
        <v>1</v>
      </c>
      <c r="B12" s="320">
        <v>2</v>
      </c>
      <c r="C12" s="320">
        <v>3</v>
      </c>
      <c r="D12" s="320">
        <v>4</v>
      </c>
      <c r="E12" s="320">
        <v>5</v>
      </c>
    </row>
    <row r="13" spans="1:5" ht="41.25" customHeight="1">
      <c r="A13" s="343">
        <v>1</v>
      </c>
      <c r="B13" s="521" t="s">
        <v>143</v>
      </c>
      <c r="C13" s="521"/>
      <c r="D13" s="521"/>
      <c r="E13" s="521"/>
    </row>
    <row r="14" spans="1:5" ht="36" customHeight="1">
      <c r="A14" s="421" t="s">
        <v>3</v>
      </c>
      <c r="B14" s="420" t="s">
        <v>144</v>
      </c>
      <c r="C14" s="420"/>
      <c r="D14" s="420"/>
      <c r="E14" s="420"/>
    </row>
    <row r="15" spans="1:5" ht="39.75" customHeight="1">
      <c r="A15" s="421"/>
      <c r="B15" s="522" t="str">
        <f>CONCATENATE("Подпрограмма 1 """,'+ Приложение 6'!C21,"""")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522"/>
      <c r="D15" s="522"/>
      <c r="E15" s="522"/>
    </row>
    <row r="16" spans="1:5" s="1" customFormat="1" ht="63">
      <c r="A16" s="353" t="s">
        <v>120</v>
      </c>
      <c r="B16" s="351" t="s">
        <v>145</v>
      </c>
      <c r="C16" s="351" t="s">
        <v>146</v>
      </c>
      <c r="D16" s="353" t="s">
        <v>62</v>
      </c>
      <c r="E16" s="344">
        <v>43435</v>
      </c>
    </row>
    <row r="17" spans="1:7" s="1" customFormat="1" ht="63">
      <c r="A17" s="353" t="s">
        <v>150</v>
      </c>
      <c r="B17" s="351" t="s">
        <v>145</v>
      </c>
      <c r="C17" s="351" t="s">
        <v>147</v>
      </c>
      <c r="D17" s="353" t="s">
        <v>62</v>
      </c>
      <c r="E17" s="344">
        <v>43525</v>
      </c>
    </row>
    <row r="18" spans="1:7" s="1" customFormat="1" ht="31.5">
      <c r="A18" s="353" t="s">
        <v>151</v>
      </c>
      <c r="B18" s="351" t="s">
        <v>145</v>
      </c>
      <c r="C18" s="351" t="s">
        <v>148</v>
      </c>
      <c r="D18" s="353" t="s">
        <v>149</v>
      </c>
      <c r="E18" s="344">
        <v>43405</v>
      </c>
    </row>
    <row r="19" spans="1:7" s="1" customFormat="1" ht="18" customHeight="1">
      <c r="A19" s="343">
        <v>2</v>
      </c>
      <c r="B19" s="521" t="s">
        <v>139</v>
      </c>
      <c r="C19" s="521"/>
      <c r="D19" s="521"/>
      <c r="E19" s="521"/>
    </row>
    <row r="20" spans="1:7" s="1" customFormat="1" ht="18" customHeight="1">
      <c r="A20" s="421" t="s">
        <v>80</v>
      </c>
      <c r="B20" s="420" t="s">
        <v>119</v>
      </c>
      <c r="C20" s="420"/>
      <c r="D20" s="420"/>
      <c r="E20" s="420"/>
    </row>
    <row r="21" spans="1:7" s="1" customFormat="1" ht="18" customHeight="1">
      <c r="A21" s="421"/>
      <c r="B21" s="522" t="str">
        <f>CONCATENATE("Подпрограмма 2 """,'+ Приложение 6'!C25,"""")</f>
        <v>Подпрограмма 2 "Организация транспортного обслуживания  на территории Туруханского района"</v>
      </c>
      <c r="C21" s="522"/>
      <c r="D21" s="522"/>
      <c r="E21" s="522"/>
    </row>
    <row r="22" spans="1:7" s="1" customFormat="1" ht="189">
      <c r="A22" s="350" t="s">
        <v>121</v>
      </c>
      <c r="B22" s="359" t="s">
        <v>282</v>
      </c>
      <c r="C22" s="352" t="s">
        <v>104</v>
      </c>
      <c r="D22" s="350" t="s">
        <v>89</v>
      </c>
      <c r="E22" s="344">
        <v>43435</v>
      </c>
    </row>
    <row r="23" spans="1:7" s="1" customFormat="1" ht="219" customHeight="1">
      <c r="A23" s="320" t="s">
        <v>123</v>
      </c>
      <c r="B23" s="192" t="s">
        <v>282</v>
      </c>
      <c r="C23" s="322" t="s">
        <v>376</v>
      </c>
      <c r="D23" s="320" t="s">
        <v>89</v>
      </c>
      <c r="E23" s="344" t="s">
        <v>380</v>
      </c>
    </row>
    <row r="24" spans="1:7" s="1" customFormat="1">
      <c r="A24" s="320" t="s">
        <v>266</v>
      </c>
      <c r="B24" s="517" t="s">
        <v>331</v>
      </c>
      <c r="C24" s="518"/>
      <c r="D24" s="518"/>
      <c r="E24" s="519"/>
    </row>
    <row r="25" spans="1:7" s="1" customFormat="1" ht="63">
      <c r="A25" s="320" t="s">
        <v>333</v>
      </c>
      <c r="B25" s="192" t="s">
        <v>282</v>
      </c>
      <c r="C25" s="322" t="s">
        <v>328</v>
      </c>
      <c r="D25" s="320" t="s">
        <v>89</v>
      </c>
      <c r="E25" s="345" t="s">
        <v>379</v>
      </c>
      <c r="F25" s="325"/>
      <c r="G25" s="346" t="s">
        <v>329</v>
      </c>
    </row>
    <row r="26" spans="1:7" s="1" customFormat="1" ht="63">
      <c r="A26" s="320" t="s">
        <v>334</v>
      </c>
      <c r="B26" s="192" t="s">
        <v>282</v>
      </c>
      <c r="C26" s="322" t="s">
        <v>330</v>
      </c>
      <c r="D26" s="320" t="s">
        <v>89</v>
      </c>
      <c r="E26" s="344" t="s">
        <v>332</v>
      </c>
    </row>
    <row r="27" spans="1:7" s="1" customFormat="1" ht="63">
      <c r="A27" s="320" t="s">
        <v>335</v>
      </c>
      <c r="B27" s="192" t="s">
        <v>282</v>
      </c>
      <c r="C27" s="322" t="s">
        <v>326</v>
      </c>
      <c r="D27" s="320" t="s">
        <v>89</v>
      </c>
      <c r="E27" s="344" t="s">
        <v>327</v>
      </c>
    </row>
    <row r="28" spans="1:7" s="1" customFormat="1" ht="63">
      <c r="A28" s="320" t="s">
        <v>336</v>
      </c>
      <c r="B28" s="192" t="s">
        <v>282</v>
      </c>
      <c r="C28" s="192" t="s">
        <v>377</v>
      </c>
      <c r="D28" s="320" t="s">
        <v>61</v>
      </c>
      <c r="E28" s="347" t="s">
        <v>378</v>
      </c>
    </row>
    <row r="29" spans="1:7" s="1" customFormat="1" ht="19.5" customHeight="1">
      <c r="A29" s="343">
        <v>3</v>
      </c>
      <c r="B29" s="514" t="s">
        <v>115</v>
      </c>
      <c r="C29" s="515"/>
      <c r="D29" s="515"/>
      <c r="E29" s="516"/>
    </row>
    <row r="30" spans="1:7" s="1" customFormat="1">
      <c r="A30" s="423" t="s">
        <v>110</v>
      </c>
      <c r="B30" s="526" t="s">
        <v>125</v>
      </c>
      <c r="C30" s="527"/>
      <c r="D30" s="527"/>
      <c r="E30" s="528"/>
    </row>
    <row r="31" spans="1:7" s="1" customFormat="1" ht="17.25" customHeight="1">
      <c r="A31" s="424"/>
      <c r="B31" s="523" t="str">
        <f>CONCATENATE("Подпрограмма 3 """,'+ Приложение 6'!C30,"""")</f>
        <v>Подпрограмма 3 "Безопасность дорожного движения в Туруханском районе"</v>
      </c>
      <c r="C31" s="524"/>
      <c r="D31" s="524"/>
      <c r="E31" s="525"/>
    </row>
    <row r="32" spans="1:7" hidden="1" outlineLevel="1">
      <c r="A32" s="311" t="s">
        <v>122</v>
      </c>
      <c r="B32" s="312"/>
      <c r="C32" s="312"/>
      <c r="D32" s="312"/>
      <c r="E32" s="313"/>
    </row>
    <row r="33" spans="1:5" hidden="1" outlineLevel="1">
      <c r="A33" s="139"/>
      <c r="B33" s="310"/>
      <c r="C33" s="310"/>
      <c r="D33" s="310"/>
      <c r="E33" s="314"/>
    </row>
    <row r="34" spans="1:5" s="1" customFormat="1" collapsed="1">
      <c r="A34" s="343">
        <v>4</v>
      </c>
      <c r="B34" s="513" t="s">
        <v>140</v>
      </c>
      <c r="C34" s="513"/>
      <c r="D34" s="513"/>
      <c r="E34" s="513"/>
    </row>
    <row r="35" spans="1:5" s="1" customFormat="1" ht="63">
      <c r="A35" s="350" t="s">
        <v>124</v>
      </c>
      <c r="B35" s="352" t="s">
        <v>107</v>
      </c>
      <c r="C35" s="352" t="s">
        <v>105</v>
      </c>
      <c r="D35" s="350" t="s">
        <v>106</v>
      </c>
      <c r="E35" s="347">
        <v>43435</v>
      </c>
    </row>
    <row r="36" spans="1:5" ht="31.5" customHeight="1">
      <c r="A36" s="136"/>
      <c r="E36" s="136"/>
    </row>
    <row r="37" spans="1:5">
      <c r="A37" s="136"/>
      <c r="E37" s="136"/>
    </row>
    <row r="38" spans="1:5">
      <c r="A38" s="136"/>
      <c r="E38" s="136"/>
    </row>
    <row r="39" spans="1:5">
      <c r="A39" s="136"/>
      <c r="E39" s="136"/>
    </row>
  </sheetData>
  <mergeCells count="21">
    <mergeCell ref="A30:A31"/>
    <mergeCell ref="B15:E15"/>
    <mergeCell ref="B21:E21"/>
    <mergeCell ref="B31:E31"/>
    <mergeCell ref="B30:E30"/>
    <mergeCell ref="B34:E34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</mergeCells>
  <pageMargins left="1.1811023622047245" right="0.78740157480314965" top="0.78740157480314965" bottom="0.39370078740157483" header="0.31496062992125984" footer="0.31496062992125984"/>
  <pageSetup paperSize="9" scale="62" firstPageNumber="43" fitToHeight="0" orientation="portrait" useFirstPageNumber="1" r:id="rId1"/>
  <headerFooter>
    <oddHeader>&amp;C&amp;P</oddHeader>
  </headerFooter>
  <rowBreaks count="2" manualBreakCount="2">
    <brk id="26" max="4" man="1"/>
    <brk id="3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T55"/>
  <sheetViews>
    <sheetView view="pageBreakPreview" topLeftCell="A10" zoomScale="70" zoomScaleNormal="70" zoomScaleSheetLayoutView="70" zoomScalePageLayoutView="85" workbookViewId="0">
      <selection activeCell="J1" sqref="J1:M1"/>
    </sheetView>
  </sheetViews>
  <sheetFormatPr defaultColWidth="9" defaultRowHeight="15.75" outlineLevelRow="1" outlineLevelCol="1"/>
  <cols>
    <col min="1" max="1" width="4.875" style="135" customWidth="1"/>
    <col min="2" max="2" width="20.25" style="136" customWidth="1"/>
    <col min="3" max="3" width="25.5" style="136" customWidth="1"/>
    <col min="4" max="4" width="44.875" style="136" customWidth="1"/>
    <col min="5" max="5" width="9" style="135"/>
    <col min="6" max="8" width="9" style="136"/>
    <col min="9" max="9" width="14.625" style="136" hidden="1" customWidth="1" outlineLevel="1"/>
    <col min="10" max="10" width="17.375" style="136" customWidth="1" collapsed="1"/>
    <col min="11" max="11" width="16.625" style="136" customWidth="1"/>
    <col min="12" max="12" width="16.375" style="136" customWidth="1"/>
    <col min="13" max="13" width="18.125" style="136" bestFit="1" customWidth="1"/>
    <col min="14" max="14" width="9" style="136"/>
    <col min="15" max="15" width="10.75" style="136" customWidth="1"/>
    <col min="16" max="16384" width="9" style="136"/>
  </cols>
  <sheetData>
    <row r="1" spans="1:20" ht="84" customHeight="1" outlineLevel="1">
      <c r="J1" s="484" t="s">
        <v>402</v>
      </c>
      <c r="K1" s="529"/>
      <c r="L1" s="529"/>
      <c r="M1" s="529"/>
    </row>
    <row r="2" spans="1:20" s="1" customFormat="1" ht="57" customHeight="1">
      <c r="A2" s="2"/>
      <c r="E2" s="2"/>
      <c r="J2" s="196" t="s">
        <v>388</v>
      </c>
      <c r="K2" s="190"/>
      <c r="L2" s="360"/>
      <c r="M2" s="197"/>
    </row>
    <row r="3" spans="1:20" s="1" customFormat="1" ht="40.5" customHeight="1">
      <c r="A3" s="2"/>
      <c r="E3" s="2"/>
      <c r="J3" s="425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K3" s="425"/>
      <c r="L3" s="425"/>
      <c r="M3" s="425"/>
    </row>
    <row r="4" spans="1:20" ht="18.75">
      <c r="A4" s="138"/>
    </row>
    <row r="5" spans="1:20" ht="18.75">
      <c r="A5" s="138"/>
    </row>
    <row r="6" spans="1:20" ht="18.75">
      <c r="A6" s="430" t="s">
        <v>0</v>
      </c>
      <c r="B6" s="430"/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</row>
    <row r="7" spans="1:20" ht="18.75">
      <c r="A7" s="430" t="s">
        <v>108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</row>
    <row r="8" spans="1:20" ht="18.75">
      <c r="A8" s="430" t="s">
        <v>109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</row>
    <row r="9" spans="1:20" ht="18.75">
      <c r="A9" s="430" t="s">
        <v>36</v>
      </c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</row>
    <row r="10" spans="1:20" ht="18.75">
      <c r="A10" s="189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</row>
    <row r="11" spans="1:20" ht="18.75">
      <c r="A11" s="2"/>
      <c r="B11" s="1"/>
      <c r="C11" s="1"/>
      <c r="D11" s="1"/>
      <c r="E11" s="2"/>
      <c r="F11" s="1"/>
      <c r="G11" s="1"/>
      <c r="H11" s="1"/>
      <c r="I11" s="1"/>
      <c r="J11" s="1"/>
      <c r="K11" s="1"/>
      <c r="L11" s="1"/>
      <c r="M11" s="3" t="s">
        <v>197</v>
      </c>
    </row>
    <row r="12" spans="1:20" ht="26.25" customHeight="1">
      <c r="A12" s="533" t="s">
        <v>19</v>
      </c>
      <c r="B12" s="534" t="s">
        <v>33</v>
      </c>
      <c r="C12" s="533" t="s">
        <v>34</v>
      </c>
      <c r="D12" s="533" t="s">
        <v>22</v>
      </c>
      <c r="E12" s="533" t="s">
        <v>23</v>
      </c>
      <c r="F12" s="533"/>
      <c r="G12" s="533"/>
      <c r="H12" s="533"/>
      <c r="I12" s="187">
        <v>2024</v>
      </c>
      <c r="J12" s="187">
        <f>I12+1</f>
        <v>2025</v>
      </c>
      <c r="K12" s="187">
        <f>J12+1</f>
        <v>2026</v>
      </c>
      <c r="L12" s="362">
        <v>2027</v>
      </c>
      <c r="M12" s="533" t="s">
        <v>24</v>
      </c>
    </row>
    <row r="13" spans="1:20" ht="26.25" customHeight="1">
      <c r="A13" s="533"/>
      <c r="B13" s="534"/>
      <c r="C13" s="533"/>
      <c r="D13" s="533"/>
      <c r="E13" s="187" t="s">
        <v>25</v>
      </c>
      <c r="F13" s="187" t="s">
        <v>26</v>
      </c>
      <c r="G13" s="187" t="s">
        <v>27</v>
      </c>
      <c r="H13" s="187" t="s">
        <v>28</v>
      </c>
      <c r="I13" s="187" t="s">
        <v>29</v>
      </c>
      <c r="J13" s="187" t="s">
        <v>29</v>
      </c>
      <c r="K13" s="187" t="s">
        <v>29</v>
      </c>
      <c r="L13" s="362" t="s">
        <v>29</v>
      </c>
      <c r="M13" s="533"/>
    </row>
    <row r="14" spans="1:20">
      <c r="A14" s="188">
        <v>1</v>
      </c>
      <c r="B14" s="188">
        <v>2</v>
      </c>
      <c r="C14" s="188">
        <v>3</v>
      </c>
      <c r="D14" s="188">
        <v>4</v>
      </c>
      <c r="E14" s="188">
        <v>5</v>
      </c>
      <c r="F14" s="188">
        <v>6</v>
      </c>
      <c r="G14" s="188">
        <v>7</v>
      </c>
      <c r="H14" s="188">
        <v>8</v>
      </c>
      <c r="I14" s="188">
        <v>9</v>
      </c>
      <c r="J14" s="188">
        <f>H14+1</f>
        <v>9</v>
      </c>
      <c r="K14" s="350">
        <f t="shared" ref="K14:M14" si="0">I14+1</f>
        <v>10</v>
      </c>
      <c r="L14" s="350">
        <f t="shared" si="0"/>
        <v>10</v>
      </c>
      <c r="M14" s="350">
        <f t="shared" si="0"/>
        <v>11</v>
      </c>
    </row>
    <row r="15" spans="1:20" s="236" customFormat="1" ht="31.5">
      <c r="A15" s="532">
        <v>1</v>
      </c>
      <c r="B15" s="535" t="s">
        <v>39</v>
      </c>
      <c r="C15" s="535" t="s">
        <v>98</v>
      </c>
      <c r="D15" s="235" t="s">
        <v>99</v>
      </c>
      <c r="E15" s="194" t="s">
        <v>30</v>
      </c>
      <c r="F15" s="194" t="s">
        <v>30</v>
      </c>
      <c r="G15" s="194" t="s">
        <v>30</v>
      </c>
      <c r="H15" s="194" t="s">
        <v>30</v>
      </c>
      <c r="I15" s="113">
        <f>SUM(I17:I20)</f>
        <v>435021.33899999998</v>
      </c>
      <c r="J15" s="113">
        <f t="shared" ref="J15:M15" si="1">SUM(J17:J20)</f>
        <v>396003.66</v>
      </c>
      <c r="K15" s="113">
        <f t="shared" si="1"/>
        <v>397197.94800000003</v>
      </c>
      <c r="L15" s="113">
        <f t="shared" si="1"/>
        <v>397197.94800000003</v>
      </c>
      <c r="M15" s="113">
        <f t="shared" si="1"/>
        <v>1190399.5559999999</v>
      </c>
      <c r="O15" s="380">
        <f>'пр к ПП1'!J35+'+ пр к ПП2'!J50+'+пр к ПП3'!J26+'+пр к ПП4'!J26-'+ Приложение 6'!I15</f>
        <v>0</v>
      </c>
      <c r="P15" s="380">
        <f>'пр к ПП1'!K35+'+ пр к ПП2'!K50+'+пр к ПП3'!K26+'+пр к ПП4'!K26-'+ Приложение 6'!J15</f>
        <v>-351</v>
      </c>
      <c r="Q15" s="380">
        <f>'пр к ПП1'!L35+'+ пр к ПП2'!L50+'+пр к ПП3'!L26+'+пр к ПП4'!L26-'+ Приложение 6'!K15</f>
        <v>0</v>
      </c>
      <c r="R15" s="380">
        <f>'пр к ПП1'!M35+'+ пр к ПП2'!M50+'+пр к ПП3'!M26+'+пр к ПП4'!M26-'+ Приложение 6'!L15</f>
        <v>0</v>
      </c>
      <c r="S15" s="380">
        <f>'пр к ПП1'!N35+'+ пр к ПП2'!N50+'+пр к ПП3'!N26+'+пр к ПП4'!N26-'+ Приложение 6'!M15</f>
        <v>-350.99999999976717</v>
      </c>
      <c r="T15" s="380"/>
    </row>
    <row r="16" spans="1:20" s="236" customFormat="1">
      <c r="A16" s="532"/>
      <c r="B16" s="535"/>
      <c r="C16" s="535"/>
      <c r="D16" s="235" t="s">
        <v>31</v>
      </c>
      <c r="E16" s="194"/>
      <c r="F16" s="194" t="s">
        <v>30</v>
      </c>
      <c r="G16" s="194" t="s">
        <v>30</v>
      </c>
      <c r="H16" s="194" t="s">
        <v>30</v>
      </c>
      <c r="I16" s="113"/>
      <c r="J16" s="113"/>
      <c r="K16" s="113"/>
      <c r="L16" s="113"/>
      <c r="M16" s="113">
        <f>SUM(I16:K16)</f>
        <v>0</v>
      </c>
    </row>
    <row r="17" spans="1:19" s="236" customFormat="1">
      <c r="A17" s="532"/>
      <c r="B17" s="535"/>
      <c r="C17" s="535"/>
      <c r="D17" s="235" t="s">
        <v>61</v>
      </c>
      <c r="E17" s="194">
        <v>241</v>
      </c>
      <c r="F17" s="194" t="s">
        <v>30</v>
      </c>
      <c r="G17" s="194" t="s">
        <v>30</v>
      </c>
      <c r="H17" s="194" t="s">
        <v>30</v>
      </c>
      <c r="I17" s="113">
        <f>SUMIF($D$21:$D$37,$D17,I$21:I$37)</f>
        <v>328165.76499999996</v>
      </c>
      <c r="J17" s="113">
        <f t="shared" ref="J17:M17" si="2">SUMIF($D$21:$D$37,$D17,J$21:J$37)</f>
        <v>280196.27799999999</v>
      </c>
      <c r="K17" s="113">
        <f t="shared" si="2"/>
        <v>294093.36300000001</v>
      </c>
      <c r="L17" s="113">
        <f t="shared" si="2"/>
        <v>294093.36300000001</v>
      </c>
      <c r="M17" s="113">
        <f t="shared" si="2"/>
        <v>868383.00399999996</v>
      </c>
    </row>
    <row r="18" spans="1:19" s="236" customFormat="1" ht="31.5">
      <c r="A18" s="532"/>
      <c r="B18" s="535"/>
      <c r="C18" s="535"/>
      <c r="D18" s="235" t="s">
        <v>90</v>
      </c>
      <c r="E18" s="194">
        <v>242</v>
      </c>
      <c r="F18" s="194" t="s">
        <v>30</v>
      </c>
      <c r="G18" s="194" t="s">
        <v>30</v>
      </c>
      <c r="H18" s="194" t="s">
        <v>30</v>
      </c>
      <c r="I18" s="113">
        <f t="shared" ref="I18:M20" si="3">SUMIF($D$21:$D$37,$D18,I$21:I$37)</f>
        <v>8254.15</v>
      </c>
      <c r="J18" s="113">
        <f t="shared" si="3"/>
        <v>8021.0780000000004</v>
      </c>
      <c r="K18" s="113">
        <f t="shared" si="3"/>
        <v>1650.83</v>
      </c>
      <c r="L18" s="113">
        <f t="shared" si="3"/>
        <v>1650.83</v>
      </c>
      <c r="M18" s="113">
        <f t="shared" si="3"/>
        <v>11322.737999999999</v>
      </c>
    </row>
    <row r="19" spans="1:19" s="236" customFormat="1" ht="31.5">
      <c r="A19" s="532"/>
      <c r="B19" s="535"/>
      <c r="C19" s="535"/>
      <c r="D19" s="235" t="s">
        <v>62</v>
      </c>
      <c r="E19" s="194">
        <v>247</v>
      </c>
      <c r="F19" s="194" t="s">
        <v>30</v>
      </c>
      <c r="G19" s="194" t="s">
        <v>30</v>
      </c>
      <c r="H19" s="194" t="s">
        <v>30</v>
      </c>
      <c r="I19" s="113">
        <f>I24+I32</f>
        <v>98601.423999999999</v>
      </c>
      <c r="J19" s="113">
        <f t="shared" ref="J19:M19" si="4">J24+J32</f>
        <v>107786.304</v>
      </c>
      <c r="K19" s="113">
        <f t="shared" si="4"/>
        <v>101453.755</v>
      </c>
      <c r="L19" s="113">
        <f t="shared" si="4"/>
        <v>101453.755</v>
      </c>
      <c r="M19" s="113">
        <f t="shared" si="4"/>
        <v>310693.81399999995</v>
      </c>
    </row>
    <row r="20" spans="1:19" s="236" customFormat="1" ht="31.5">
      <c r="A20" s="532"/>
      <c r="B20" s="535"/>
      <c r="C20" s="535"/>
      <c r="D20" s="235" t="s">
        <v>203</v>
      </c>
      <c r="E20" s="194">
        <v>243</v>
      </c>
      <c r="F20" s="194" t="s">
        <v>30</v>
      </c>
      <c r="G20" s="194" t="s">
        <v>30</v>
      </c>
      <c r="H20" s="194" t="s">
        <v>30</v>
      </c>
      <c r="I20" s="113">
        <f t="shared" si="3"/>
        <v>0</v>
      </c>
      <c r="J20" s="113">
        <f t="shared" si="3"/>
        <v>0</v>
      </c>
      <c r="K20" s="113">
        <f t="shared" si="3"/>
        <v>0</v>
      </c>
      <c r="L20" s="113">
        <f t="shared" si="3"/>
        <v>0</v>
      </c>
      <c r="M20" s="113">
        <f t="shared" si="3"/>
        <v>0</v>
      </c>
    </row>
    <row r="21" spans="1:19" s="1" customFormat="1" ht="31.5">
      <c r="A21" s="530" t="s">
        <v>3</v>
      </c>
      <c r="B21" s="531" t="s">
        <v>15</v>
      </c>
      <c r="C21" s="531" t="s">
        <v>112</v>
      </c>
      <c r="D21" s="352" t="s">
        <v>35</v>
      </c>
      <c r="E21" s="350"/>
      <c r="F21" s="350" t="s">
        <v>30</v>
      </c>
      <c r="G21" s="350" t="s">
        <v>30</v>
      </c>
      <c r="H21" s="350" t="s">
        <v>30</v>
      </c>
      <c r="I21" s="113">
        <f>I23+I24</f>
        <v>106855.57399999999</v>
      </c>
      <c r="J21" s="113">
        <f t="shared" ref="J21:L21" si="5">J23+J24</f>
        <v>115456.382</v>
      </c>
      <c r="K21" s="113">
        <f t="shared" si="5"/>
        <v>103104.58500000001</v>
      </c>
      <c r="L21" s="113">
        <f t="shared" si="5"/>
        <v>103104.58500000001</v>
      </c>
      <c r="M21" s="113">
        <f>M23+M24</f>
        <v>321665.55199999997</v>
      </c>
      <c r="O21" s="378">
        <f>I21-'пр к ПП1'!J35</f>
        <v>0</v>
      </c>
      <c r="P21" s="378">
        <f>J21-'пр к ПП1'!K35</f>
        <v>0</v>
      </c>
      <c r="Q21" s="378">
        <f>K21-'пр к ПП1'!L35</f>
        <v>0</v>
      </c>
      <c r="R21" s="378">
        <f>L21-'пр к ПП1'!M35</f>
        <v>0</v>
      </c>
      <c r="S21" s="378"/>
    </row>
    <row r="22" spans="1:19" s="1" customFormat="1">
      <c r="A22" s="530"/>
      <c r="B22" s="531"/>
      <c r="C22" s="531"/>
      <c r="D22" s="352" t="s">
        <v>31</v>
      </c>
      <c r="E22" s="350"/>
      <c r="F22" s="350" t="s">
        <v>30</v>
      </c>
      <c r="G22" s="350" t="s">
        <v>30</v>
      </c>
      <c r="H22" s="350" t="s">
        <v>30</v>
      </c>
      <c r="I22" s="113"/>
      <c r="J22" s="113"/>
      <c r="K22" s="113"/>
      <c r="L22" s="113"/>
      <c r="M22" s="113">
        <f>SUM(I22:K22)</f>
        <v>0</v>
      </c>
      <c r="O22" s="378">
        <f>M23+M24-M21</f>
        <v>0</v>
      </c>
    </row>
    <row r="23" spans="1:19" s="1" customFormat="1" ht="31.5">
      <c r="A23" s="530"/>
      <c r="B23" s="531"/>
      <c r="C23" s="531"/>
      <c r="D23" s="352" t="s">
        <v>90</v>
      </c>
      <c r="E23" s="350">
        <f>E18</f>
        <v>242</v>
      </c>
      <c r="F23" s="350" t="s">
        <v>30</v>
      </c>
      <c r="G23" s="350" t="s">
        <v>30</v>
      </c>
      <c r="H23" s="350" t="s">
        <v>30</v>
      </c>
      <c r="I23" s="113">
        <f>'пр к ПП1'!J19</f>
        <v>8254.15</v>
      </c>
      <c r="J23" s="113">
        <f>'пр к ПП1'!K19</f>
        <v>7670.0780000000004</v>
      </c>
      <c r="K23" s="113">
        <f>'пр к ПП1'!L19</f>
        <v>1650.83</v>
      </c>
      <c r="L23" s="113">
        <f>'пр к ПП1'!M19</f>
        <v>1650.83</v>
      </c>
      <c r="M23" s="113">
        <f>'пр к ПП1'!N19</f>
        <v>10971.737999999999</v>
      </c>
      <c r="O23" s="379"/>
    </row>
    <row r="24" spans="1:19" s="1" customFormat="1" ht="31.5">
      <c r="A24" s="530"/>
      <c r="B24" s="531"/>
      <c r="C24" s="531"/>
      <c r="D24" s="352" t="s">
        <v>62</v>
      </c>
      <c r="E24" s="350">
        <f>E19</f>
        <v>247</v>
      </c>
      <c r="F24" s="350" t="s">
        <v>30</v>
      </c>
      <c r="G24" s="350" t="s">
        <v>30</v>
      </c>
      <c r="H24" s="350" t="s">
        <v>30</v>
      </c>
      <c r="I24" s="113">
        <f>'пр к ПП1'!J35-'пр к ПП1'!J19</f>
        <v>98601.423999999999</v>
      </c>
      <c r="J24" s="113">
        <f>'пр к ПП1'!K35-'пр к ПП1'!K19</f>
        <v>107786.304</v>
      </c>
      <c r="K24" s="113">
        <f>'пр к ПП1'!L35-'пр к ПП1'!L19</f>
        <v>101453.755</v>
      </c>
      <c r="L24" s="113">
        <f>'пр к ПП1'!M35-'пр к ПП1'!M19</f>
        <v>101453.755</v>
      </c>
      <c r="M24" s="113">
        <f>'пр к ПП1'!N35-'пр к ПП1'!N19</f>
        <v>310693.81399999995</v>
      </c>
    </row>
    <row r="25" spans="1:19">
      <c r="A25" s="530" t="s">
        <v>79</v>
      </c>
      <c r="B25" s="531" t="s">
        <v>86</v>
      </c>
      <c r="C25" s="531" t="s">
        <v>93</v>
      </c>
      <c r="D25" s="127" t="s">
        <v>32</v>
      </c>
      <c r="E25" s="126"/>
      <c r="F25" s="126" t="s">
        <v>30</v>
      </c>
      <c r="G25" s="126" t="s">
        <v>30</v>
      </c>
      <c r="H25" s="126" t="s">
        <v>30</v>
      </c>
      <c r="I25" s="113">
        <f>I27+I28+I29</f>
        <v>310611.58499999996</v>
      </c>
      <c r="J25" s="113">
        <f t="shared" ref="J25:M25" si="6">J27+J28+J29</f>
        <v>266201.00637000002</v>
      </c>
      <c r="K25" s="113">
        <f t="shared" si="6"/>
        <v>278493.36300000001</v>
      </c>
      <c r="L25" s="113">
        <f t="shared" si="6"/>
        <v>278493.36300000001</v>
      </c>
      <c r="M25" s="113">
        <f t="shared" si="6"/>
        <v>823187.73236999998</v>
      </c>
      <c r="O25" s="195">
        <f>I25-'+ пр к ПП2'!J50</f>
        <v>0</v>
      </c>
      <c r="P25" s="195">
        <f>J25-'+ пр к ПП2'!K50</f>
        <v>0</v>
      </c>
      <c r="Q25" s="195">
        <f>K25-'+ пр к ПП2'!L50</f>
        <v>0</v>
      </c>
      <c r="R25" s="195">
        <f>L25-'+ пр к ПП2'!M50</f>
        <v>0</v>
      </c>
    </row>
    <row r="26" spans="1:19">
      <c r="A26" s="530"/>
      <c r="B26" s="531"/>
      <c r="C26" s="531"/>
      <c r="D26" s="127" t="s">
        <v>31</v>
      </c>
      <c r="E26" s="126"/>
      <c r="F26" s="126" t="s">
        <v>30</v>
      </c>
      <c r="G26" s="126" t="s">
        <v>30</v>
      </c>
      <c r="H26" s="126" t="s">
        <v>30</v>
      </c>
      <c r="I26" s="113"/>
      <c r="J26" s="113"/>
      <c r="K26" s="113"/>
      <c r="L26" s="113"/>
      <c r="M26" s="113">
        <f>SUM(I26:K26)</f>
        <v>0</v>
      </c>
    </row>
    <row r="27" spans="1:19">
      <c r="A27" s="530"/>
      <c r="B27" s="531"/>
      <c r="C27" s="531"/>
      <c r="D27" s="127" t="s">
        <v>61</v>
      </c>
      <c r="E27" s="126">
        <f>E17</f>
        <v>241</v>
      </c>
      <c r="F27" s="126" t="s">
        <v>30</v>
      </c>
      <c r="G27" s="126" t="s">
        <v>30</v>
      </c>
      <c r="H27" s="126" t="s">
        <v>30</v>
      </c>
      <c r="I27" s="113">
        <f>'+ пр к ПП2'!J50-'+ пр к ПП2'!J22-'+ пр к ПП2'!J24</f>
        <v>310611.58499999996</v>
      </c>
      <c r="J27" s="113">
        <f>'+ пр к ПП2'!K50-'+ пр к ПП2'!K22-'+ пр к ПП2'!K24</f>
        <v>266201.00637000002</v>
      </c>
      <c r="K27" s="113">
        <f>'+ пр к ПП2'!L50-'+ пр к ПП2'!L22-'+ пр к ПП2'!L24</f>
        <v>278493.36300000001</v>
      </c>
      <c r="L27" s="113">
        <f>'+ пр к ПП2'!M50-'+ пр к ПП2'!M22-'+ пр к ПП2'!M24</f>
        <v>278493.36300000001</v>
      </c>
      <c r="M27" s="113">
        <f>'+ пр к ПП2'!N50-'+ пр к ПП2'!N22-'+ пр к ПП2'!N24</f>
        <v>823187.73236999998</v>
      </c>
      <c r="O27" s="184"/>
    </row>
    <row r="28" spans="1:19" ht="31.5">
      <c r="A28" s="530"/>
      <c r="B28" s="531"/>
      <c r="C28" s="531"/>
      <c r="D28" s="127" t="s">
        <v>90</v>
      </c>
      <c r="E28" s="129">
        <f>E18</f>
        <v>242</v>
      </c>
      <c r="F28" s="126" t="s">
        <v>30</v>
      </c>
      <c r="G28" s="126" t="s">
        <v>30</v>
      </c>
      <c r="H28" s="126" t="s">
        <v>30</v>
      </c>
      <c r="I28" s="113">
        <f>'+ пр к ПП2'!J22</f>
        <v>0</v>
      </c>
      <c r="J28" s="113">
        <f>'+ пр к ПП2'!K22</f>
        <v>0</v>
      </c>
      <c r="K28" s="113">
        <f>'+ пр к ПП2'!L22</f>
        <v>0</v>
      </c>
      <c r="L28" s="113">
        <f>'+ пр к ПП2'!M22</f>
        <v>0</v>
      </c>
      <c r="M28" s="113">
        <f>'+ пр к ПП2'!N22</f>
        <v>0</v>
      </c>
    </row>
    <row r="29" spans="1:19" ht="31.5">
      <c r="A29" s="530"/>
      <c r="B29" s="531"/>
      <c r="C29" s="531"/>
      <c r="D29" s="127" t="s">
        <v>62</v>
      </c>
      <c r="E29" s="126">
        <f>E24</f>
        <v>247</v>
      </c>
      <c r="F29" s="126" t="s">
        <v>30</v>
      </c>
      <c r="G29" s="126" t="s">
        <v>30</v>
      </c>
      <c r="H29" s="126" t="s">
        <v>30</v>
      </c>
      <c r="I29" s="113">
        <f>'+ пр к ПП2'!J24</f>
        <v>0</v>
      </c>
      <c r="J29" s="113">
        <f>'+ пр к ПП2'!K24</f>
        <v>0</v>
      </c>
      <c r="K29" s="113">
        <f>'+ пр к ПП2'!L24</f>
        <v>0</v>
      </c>
      <c r="L29" s="113">
        <f>'+ пр к ПП2'!M24</f>
        <v>0</v>
      </c>
      <c r="M29" s="113">
        <f>'+ пр к ПП2'!N24</f>
        <v>0</v>
      </c>
    </row>
    <row r="30" spans="1:19" s="1" customFormat="1">
      <c r="A30" s="530" t="s">
        <v>81</v>
      </c>
      <c r="B30" s="531" t="s">
        <v>87</v>
      </c>
      <c r="C30" s="531" t="s">
        <v>94</v>
      </c>
      <c r="D30" s="352" t="s">
        <v>32</v>
      </c>
      <c r="E30" s="350"/>
      <c r="F30" s="350" t="s">
        <v>30</v>
      </c>
      <c r="G30" s="350" t="s">
        <v>30</v>
      </c>
      <c r="H30" s="350" t="s">
        <v>30</v>
      </c>
      <c r="I30" s="113">
        <f>'+пр к ПП3'!J26</f>
        <v>0</v>
      </c>
      <c r="J30" s="113">
        <f>'+пр к ПП3'!K26</f>
        <v>0</v>
      </c>
      <c r="K30" s="113">
        <f>'+пр к ПП3'!L26</f>
        <v>0</v>
      </c>
      <c r="L30" s="113"/>
      <c r="M30" s="113">
        <f>'+пр к ПП3'!N26</f>
        <v>0</v>
      </c>
    </row>
    <row r="31" spans="1:19" s="1" customFormat="1">
      <c r="A31" s="530"/>
      <c r="B31" s="531"/>
      <c r="C31" s="531"/>
      <c r="D31" s="352" t="s">
        <v>31</v>
      </c>
      <c r="E31" s="350"/>
      <c r="F31" s="350" t="s">
        <v>30</v>
      </c>
      <c r="G31" s="350" t="s">
        <v>30</v>
      </c>
      <c r="H31" s="350" t="s">
        <v>30</v>
      </c>
      <c r="I31" s="113"/>
      <c r="J31" s="113"/>
      <c r="K31" s="113"/>
      <c r="L31" s="113"/>
      <c r="M31" s="113">
        <f>SUM(I31:K31)</f>
        <v>0</v>
      </c>
    </row>
    <row r="32" spans="1:19" s="1" customFormat="1" ht="31.5">
      <c r="A32" s="530"/>
      <c r="B32" s="531"/>
      <c r="C32" s="531"/>
      <c r="D32" s="352" t="s">
        <v>62</v>
      </c>
      <c r="E32" s="350">
        <f>E19</f>
        <v>247</v>
      </c>
      <c r="F32" s="350" t="s">
        <v>30</v>
      </c>
      <c r="G32" s="350" t="s">
        <v>30</v>
      </c>
      <c r="H32" s="350" t="s">
        <v>30</v>
      </c>
      <c r="I32" s="113">
        <f>'+пр к ПП3'!J17+'+пр к ПП3'!J19+'+пр к ПП3'!J23</f>
        <v>0</v>
      </c>
      <c r="J32" s="113">
        <f>'+пр к ПП3'!K17+'+пр к ПП3'!K19+'+пр к ПП3'!K23</f>
        <v>0</v>
      </c>
      <c r="K32" s="113">
        <f>'+пр к ПП3'!L17+'+пр к ПП3'!L19+'+пр к ПП3'!L23</f>
        <v>0</v>
      </c>
      <c r="L32" s="113"/>
      <c r="M32" s="113">
        <f>'+пр к ПП3'!N17+'+пр к ПП3'!N19+'+пр к ПП3'!N23</f>
        <v>0</v>
      </c>
    </row>
    <row r="33" spans="1:19" s="1" customFormat="1" ht="31.5">
      <c r="A33" s="530"/>
      <c r="B33" s="531"/>
      <c r="C33" s="531"/>
      <c r="D33" s="352" t="s">
        <v>203</v>
      </c>
      <c r="E33" s="353">
        <f>E20</f>
        <v>243</v>
      </c>
      <c r="F33" s="350" t="s">
        <v>30</v>
      </c>
      <c r="G33" s="350" t="s">
        <v>30</v>
      </c>
      <c r="H33" s="350" t="s">
        <v>30</v>
      </c>
      <c r="I33" s="113">
        <f>'+пр к ПП3'!J15+'+пр к ПП3'!J16</f>
        <v>0</v>
      </c>
      <c r="J33" s="113">
        <f>'+пр к ПП3'!K15+'+пр к ПП3'!K16</f>
        <v>0</v>
      </c>
      <c r="K33" s="113">
        <f>'+пр к ПП3'!L15+'+пр к ПП3'!L16</f>
        <v>0</v>
      </c>
      <c r="L33" s="113"/>
      <c r="M33" s="113">
        <f>SUM(I33:K33)</f>
        <v>0</v>
      </c>
    </row>
    <row r="34" spans="1:19">
      <c r="A34" s="530" t="s">
        <v>82</v>
      </c>
      <c r="B34" s="531" t="s">
        <v>88</v>
      </c>
      <c r="C34" s="531" t="s">
        <v>153</v>
      </c>
      <c r="D34" s="127" t="s">
        <v>32</v>
      </c>
      <c r="E34" s="126"/>
      <c r="F34" s="126" t="s">
        <v>30</v>
      </c>
      <c r="G34" s="126" t="s">
        <v>30</v>
      </c>
      <c r="H34" s="126" t="s">
        <v>30</v>
      </c>
      <c r="I34" s="113">
        <f>I36+I37</f>
        <v>17554.18</v>
      </c>
      <c r="J34" s="113">
        <f t="shared" ref="J34:M34" si="7">J36+J37</f>
        <v>14346.271629999999</v>
      </c>
      <c r="K34" s="113">
        <f t="shared" si="7"/>
        <v>15600</v>
      </c>
      <c r="L34" s="113">
        <f t="shared" si="7"/>
        <v>15600</v>
      </c>
      <c r="M34" s="113">
        <f t="shared" si="7"/>
        <v>45546.271630000003</v>
      </c>
      <c r="O34" s="195">
        <f>I34-'+пр к ПП4'!J26</f>
        <v>0</v>
      </c>
      <c r="P34" s="195">
        <f>J34-'+пр к ПП4'!K26</f>
        <v>351</v>
      </c>
      <c r="Q34" s="195">
        <f>K34-'+пр к ПП4'!L26</f>
        <v>0</v>
      </c>
      <c r="R34" s="195">
        <f>L34-'+пр к ПП4'!M26</f>
        <v>0</v>
      </c>
      <c r="S34" s="195">
        <f>M34-'+пр к ПП4'!N26</f>
        <v>351</v>
      </c>
    </row>
    <row r="35" spans="1:19">
      <c r="A35" s="530"/>
      <c r="B35" s="531"/>
      <c r="C35" s="531"/>
      <c r="D35" s="127" t="s">
        <v>31</v>
      </c>
      <c r="E35" s="126"/>
      <c r="F35" s="126" t="s">
        <v>30</v>
      </c>
      <c r="G35" s="126" t="s">
        <v>30</v>
      </c>
      <c r="H35" s="126" t="s">
        <v>30</v>
      </c>
      <c r="I35" s="113"/>
      <c r="J35" s="113"/>
      <c r="K35" s="113"/>
      <c r="L35" s="113"/>
      <c r="M35" s="113">
        <f>SUM(I35:K35)</f>
        <v>0</v>
      </c>
    </row>
    <row r="36" spans="1:19">
      <c r="A36" s="530"/>
      <c r="B36" s="531"/>
      <c r="C36" s="531"/>
      <c r="D36" s="127" t="s">
        <v>61</v>
      </c>
      <c r="E36" s="126">
        <f>E27</f>
        <v>241</v>
      </c>
      <c r="F36" s="126" t="s">
        <v>30</v>
      </c>
      <c r="G36" s="126" t="s">
        <v>30</v>
      </c>
      <c r="H36" s="126" t="s">
        <v>30</v>
      </c>
      <c r="I36" s="113">
        <f>'+пр к ПП4'!J26</f>
        <v>17554.18</v>
      </c>
      <c r="J36" s="113">
        <f>'+пр к ПП4'!K15+'+пр к ПП4'!K21+'+пр к ПП4'!K23</f>
        <v>13995.271629999999</v>
      </c>
      <c r="K36" s="113">
        <f>'+пр к ПП4'!L26</f>
        <v>15600</v>
      </c>
      <c r="L36" s="113">
        <f>'+пр к ПП4'!M26</f>
        <v>15600</v>
      </c>
      <c r="M36" s="113">
        <f>'+пр к ПП4'!N26</f>
        <v>45195.271630000003</v>
      </c>
    </row>
    <row r="37" spans="1:19" ht="31.5">
      <c r="A37" s="530"/>
      <c r="B37" s="531"/>
      <c r="C37" s="531"/>
      <c r="D37" s="127" t="s">
        <v>90</v>
      </c>
      <c r="E37" s="126">
        <f>E28</f>
        <v>242</v>
      </c>
      <c r="F37" s="126" t="s">
        <v>30</v>
      </c>
      <c r="G37" s="126" t="s">
        <v>30</v>
      </c>
      <c r="H37" s="126" t="s">
        <v>30</v>
      </c>
      <c r="I37" s="113">
        <f>'+пр к ПП4'!J19</f>
        <v>0</v>
      </c>
      <c r="J37" s="113">
        <f>'+пр к ПП4'!K22+'+пр к ПП4'!K24</f>
        <v>351</v>
      </c>
      <c r="K37" s="113">
        <f>'+пр к ПП4'!L19</f>
        <v>0</v>
      </c>
      <c r="L37" s="113"/>
      <c r="M37" s="113">
        <f>SUM(I37:K37)</f>
        <v>351</v>
      </c>
    </row>
    <row r="45" spans="1:19">
      <c r="B45" s="136" t="s">
        <v>212</v>
      </c>
    </row>
    <row r="46" spans="1:19">
      <c r="B46" s="136" t="s">
        <v>213</v>
      </c>
      <c r="I46" s="136" t="b">
        <f>I21='пр к ПП1'!J35</f>
        <v>1</v>
      </c>
      <c r="J46" s="136" t="b">
        <f>J21='пр к ПП1'!L35</f>
        <v>0</v>
      </c>
      <c r="K46" s="136" t="b">
        <f>K21='пр к ПП1'!M35</f>
        <v>1</v>
      </c>
      <c r="M46" s="136" t="b">
        <f>M21='пр к ПП1'!N35</f>
        <v>1</v>
      </c>
    </row>
    <row r="47" spans="1:19">
      <c r="B47" s="136" t="s">
        <v>214</v>
      </c>
      <c r="I47" s="136" t="b">
        <f>I25='+ пр к ПП2'!J50</f>
        <v>1</v>
      </c>
      <c r="J47" s="136" t="b">
        <f>J25='+ пр к ПП2'!K50</f>
        <v>1</v>
      </c>
      <c r="K47" s="136" t="b">
        <f>K25='+ пр к ПП2'!L50</f>
        <v>1</v>
      </c>
      <c r="M47" s="136" t="b">
        <f>M25='+ пр к ПП2'!N50</f>
        <v>1</v>
      </c>
    </row>
    <row r="48" spans="1:19">
      <c r="B48" s="136" t="s">
        <v>215</v>
      </c>
      <c r="I48" s="136" t="b">
        <f>I30='+пр к ПП3'!J26</f>
        <v>1</v>
      </c>
      <c r="J48" s="136" t="b">
        <f>J30='+пр к ПП3'!K26</f>
        <v>1</v>
      </c>
      <c r="K48" s="136" t="b">
        <f>K30='+пр к ПП3'!L26</f>
        <v>1</v>
      </c>
      <c r="M48" s="136" t="b">
        <f>M30='+пр к ПП3'!N26</f>
        <v>1</v>
      </c>
    </row>
    <row r="49" spans="2:13">
      <c r="B49" s="136" t="s">
        <v>216</v>
      </c>
      <c r="I49" s="136" t="b">
        <f>I34='+пр к ПП4'!J26</f>
        <v>1</v>
      </c>
      <c r="J49" s="136" t="b">
        <f>J34='+пр к ПП4'!K26</f>
        <v>0</v>
      </c>
      <c r="K49" s="136" t="b">
        <f>K34='+пр к ПП4'!L26</f>
        <v>1</v>
      </c>
      <c r="M49" s="136" t="b">
        <f>M34='+пр к ПП4'!N26</f>
        <v>0</v>
      </c>
    </row>
    <row r="52" spans="2:13">
      <c r="B52" s="136" t="s">
        <v>213</v>
      </c>
      <c r="I52" s="169">
        <f>I21-'пр к ПП1'!J35</f>
        <v>0</v>
      </c>
      <c r="J52" s="169">
        <f>J21-'пр к ПП1'!L35</f>
        <v>12351.796999999991</v>
      </c>
      <c r="K52" s="169">
        <f>K21-'пр к ПП1'!M35</f>
        <v>0</v>
      </c>
      <c r="L52" s="169"/>
      <c r="M52" s="169">
        <f>M21-'пр к ПП1'!N35</f>
        <v>0</v>
      </c>
    </row>
    <row r="53" spans="2:13">
      <c r="B53" s="136" t="s">
        <v>214</v>
      </c>
      <c r="I53" s="169">
        <f>I25-'+ пр к ПП2'!J50</f>
        <v>0</v>
      </c>
      <c r="J53" s="169">
        <f>J25-'+ пр к ПП2'!K50</f>
        <v>0</v>
      </c>
      <c r="K53" s="169">
        <f>K25-'+ пр к ПП2'!L50</f>
        <v>0</v>
      </c>
      <c r="L53" s="169"/>
      <c r="M53" s="169">
        <f>M25-'+ пр к ПП2'!N50</f>
        <v>0</v>
      </c>
    </row>
    <row r="54" spans="2:13">
      <c r="B54" s="136" t="s">
        <v>215</v>
      </c>
      <c r="I54" s="169">
        <f>I30-'+пр к ПП3'!J26</f>
        <v>0</v>
      </c>
      <c r="J54" s="169">
        <f>J30-'+пр к ПП3'!K26</f>
        <v>0</v>
      </c>
      <c r="K54" s="169">
        <f>K30-'+пр к ПП3'!L26</f>
        <v>0</v>
      </c>
      <c r="L54" s="169"/>
      <c r="M54" s="169">
        <f>M30-'+пр к ПП3'!N26</f>
        <v>0</v>
      </c>
    </row>
    <row r="55" spans="2:13">
      <c r="B55" s="136" t="s">
        <v>216</v>
      </c>
      <c r="I55" s="169">
        <f>I34-'+пр к ПП4'!J26</f>
        <v>0</v>
      </c>
      <c r="J55" s="169">
        <f>J34-'+пр к ПП4'!K26</f>
        <v>351</v>
      </c>
      <c r="K55" s="169">
        <f>K34-'+пр к ПП4'!L26</f>
        <v>0</v>
      </c>
      <c r="L55" s="169"/>
      <c r="M55" s="169">
        <f>M34-'+пр к ПП4'!N26</f>
        <v>351</v>
      </c>
    </row>
  </sheetData>
  <mergeCells count="27">
    <mergeCell ref="A34:A37"/>
    <mergeCell ref="B34:B37"/>
    <mergeCell ref="C34:C37"/>
    <mergeCell ref="J3:M3"/>
    <mergeCell ref="M12:M13"/>
    <mergeCell ref="A12:A13"/>
    <mergeCell ref="B12:B13"/>
    <mergeCell ref="C12:C13"/>
    <mergeCell ref="D12:D13"/>
    <mergeCell ref="E12:H12"/>
    <mergeCell ref="B15:B20"/>
    <mergeCell ref="C15:C20"/>
    <mergeCell ref="A21:A24"/>
    <mergeCell ref="B21:B24"/>
    <mergeCell ref="C21:C24"/>
    <mergeCell ref="J1:M1"/>
    <mergeCell ref="A6:M6"/>
    <mergeCell ref="A30:A33"/>
    <mergeCell ref="B30:B33"/>
    <mergeCell ref="C30:C33"/>
    <mergeCell ref="A15:A20"/>
    <mergeCell ref="A7:M7"/>
    <mergeCell ref="A8:M8"/>
    <mergeCell ref="A9:M9"/>
    <mergeCell ref="A25:A29"/>
    <mergeCell ref="B25:B29"/>
    <mergeCell ref="C25:C29"/>
  </mergeCells>
  <pageMargins left="0.78740157480314965" right="0.78740157480314965" top="1.1811023622047245" bottom="0.15748031496062992" header="0.31496062992125984" footer="0.31496062992125984"/>
  <pageSetup paperSize="9" scale="59" firstPageNumber="18" fitToHeight="0" orientation="landscape" useFirstPageNumber="1" r:id="rId1"/>
  <headerFooter>
    <oddHeader>&amp;C&amp;P</oddHeader>
  </headerFooter>
  <rowBreaks count="1" manualBreakCount="1">
    <brk id="37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W72"/>
  <sheetViews>
    <sheetView tabSelected="1" view="pageBreakPreview" zoomScale="70" zoomScaleNormal="70" zoomScaleSheetLayoutView="70" workbookViewId="0">
      <selection activeCell="O1" sqref="O1:S1"/>
    </sheetView>
  </sheetViews>
  <sheetFormatPr defaultColWidth="9" defaultRowHeight="18.75" outlineLevelRow="1" outlineLevelCol="1"/>
  <cols>
    <col min="1" max="1" width="5.375" style="170" customWidth="1"/>
    <col min="2" max="2" width="22.25" style="171" customWidth="1"/>
    <col min="3" max="3" width="25" style="171" customWidth="1"/>
    <col min="4" max="4" width="33.375" style="171" customWidth="1"/>
    <col min="5" max="5" width="17.25" style="172" hidden="1" customWidth="1" outlineLevel="1"/>
    <col min="6" max="8" width="14.25" style="172" hidden="1" customWidth="1" outlineLevel="1"/>
    <col min="9" max="10" width="14.625" style="172" hidden="1" customWidth="1" outlineLevel="1"/>
    <col min="11" max="11" width="14.625" style="13" hidden="1" customWidth="1" outlineLevel="1"/>
    <col min="12" max="14" width="15.875" style="172" hidden="1" customWidth="1" outlineLevel="1"/>
    <col min="15" max="15" width="18.5" style="4" hidden="1" customWidth="1" outlineLevel="1"/>
    <col min="16" max="16" width="15.625" style="4" customWidth="1" collapsed="1"/>
    <col min="17" max="18" width="15.625" style="4" customWidth="1"/>
    <col min="19" max="19" width="18.125" style="4" bestFit="1" customWidth="1"/>
    <col min="20" max="20" width="14.5" style="171" hidden="1" customWidth="1" outlineLevel="1"/>
    <col min="21" max="21" width="17.875" style="173" hidden="1" customWidth="1" outlineLevel="1"/>
    <col min="22" max="22" width="10.75" style="171" hidden="1" customWidth="1" outlineLevel="1"/>
    <col min="23" max="23" width="9" style="171" collapsed="1"/>
    <col min="24" max="16384" width="9" style="171"/>
  </cols>
  <sheetData>
    <row r="1" spans="1:22" ht="62.25" customHeight="1" outlineLevel="1">
      <c r="A1" s="7"/>
      <c r="B1" s="4"/>
      <c r="C1" s="4"/>
      <c r="D1" s="4"/>
      <c r="E1" s="13"/>
      <c r="F1" s="13"/>
      <c r="G1" s="13"/>
      <c r="H1" s="13"/>
      <c r="I1" s="13"/>
      <c r="J1" s="13"/>
      <c r="L1" s="13"/>
      <c r="M1" s="13"/>
      <c r="N1" s="13"/>
      <c r="O1" s="484" t="s">
        <v>403</v>
      </c>
      <c r="P1" s="484"/>
      <c r="Q1" s="484"/>
      <c r="R1" s="484"/>
      <c r="S1" s="484"/>
    </row>
    <row r="2" spans="1:22" ht="28.5" customHeight="1" outlineLevel="1">
      <c r="A2" s="7"/>
      <c r="B2" s="4"/>
      <c r="C2" s="4"/>
      <c r="D2" s="4"/>
      <c r="E2" s="13"/>
      <c r="F2" s="13"/>
      <c r="G2" s="13"/>
      <c r="H2" s="13"/>
      <c r="I2" s="13"/>
      <c r="J2" s="13"/>
      <c r="L2" s="13"/>
      <c r="M2" s="13"/>
      <c r="N2" s="13"/>
      <c r="O2" s="233"/>
      <c r="P2" s="233"/>
      <c r="Q2" s="233"/>
      <c r="R2" s="233"/>
      <c r="S2" s="233"/>
    </row>
    <row r="3" spans="1:22">
      <c r="A3" s="7"/>
      <c r="B3" s="4"/>
      <c r="C3" s="4"/>
      <c r="D3" s="4"/>
      <c r="E3" s="13"/>
      <c r="F3" s="13"/>
      <c r="G3" s="13"/>
      <c r="H3" s="13"/>
      <c r="I3" s="13"/>
      <c r="J3" s="13"/>
      <c r="L3" s="13"/>
      <c r="M3" s="13"/>
      <c r="N3" s="13"/>
      <c r="O3" s="279" t="s">
        <v>154</v>
      </c>
      <c r="P3" s="4" t="s">
        <v>154</v>
      </c>
    </row>
    <row r="4" spans="1:22" ht="43.5" customHeight="1">
      <c r="A4" s="7"/>
      <c r="B4" s="4"/>
      <c r="C4" s="4"/>
      <c r="D4" s="4"/>
      <c r="E4" s="13"/>
      <c r="F4" s="13"/>
      <c r="G4" s="13"/>
      <c r="H4" s="13"/>
      <c r="I4" s="13"/>
      <c r="J4" s="13"/>
      <c r="L4" s="13"/>
      <c r="M4" s="13"/>
      <c r="N4" s="13"/>
      <c r="O4" s="425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P4" s="425"/>
      <c r="Q4" s="425"/>
      <c r="R4" s="425"/>
      <c r="S4" s="425"/>
    </row>
    <row r="5" spans="1:22">
      <c r="A5" s="125"/>
      <c r="B5" s="4"/>
      <c r="C5" s="4"/>
      <c r="D5" s="4"/>
      <c r="E5" s="13"/>
      <c r="F5" s="13"/>
      <c r="G5" s="13"/>
      <c r="H5" s="13"/>
      <c r="I5" s="13"/>
      <c r="J5" s="13"/>
      <c r="L5" s="13"/>
      <c r="M5" s="13"/>
      <c r="N5" s="13"/>
    </row>
    <row r="6" spans="1:22">
      <c r="A6" s="125"/>
      <c r="B6" s="4"/>
      <c r="C6" s="4"/>
      <c r="D6" s="4"/>
      <c r="E6" s="13"/>
      <c r="F6" s="13"/>
      <c r="G6" s="13"/>
      <c r="H6" s="13"/>
      <c r="I6" s="13"/>
      <c r="J6" s="13"/>
      <c r="L6" s="13"/>
      <c r="M6" s="13"/>
      <c r="N6" s="13"/>
    </row>
    <row r="7" spans="1:22">
      <c r="A7" s="430" t="s">
        <v>0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430"/>
      <c r="Q7" s="430"/>
      <c r="R7" s="430"/>
      <c r="S7" s="430"/>
    </row>
    <row r="8" spans="1:22">
      <c r="A8" s="430" t="s">
        <v>397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  <c r="O8" s="430"/>
      <c r="P8" s="430"/>
      <c r="Q8" s="430"/>
      <c r="R8" s="430"/>
      <c r="S8" s="430"/>
    </row>
    <row r="9" spans="1:22">
      <c r="A9" s="430" t="s">
        <v>398</v>
      </c>
      <c r="B9" s="430"/>
      <c r="C9" s="430"/>
      <c r="D9" s="430"/>
      <c r="E9" s="430"/>
      <c r="F9" s="430"/>
      <c r="G9" s="430"/>
      <c r="H9" s="430"/>
      <c r="I9" s="430"/>
      <c r="J9" s="430"/>
      <c r="K9" s="430"/>
      <c r="L9" s="430"/>
      <c r="M9" s="430"/>
      <c r="N9" s="430"/>
      <c r="O9" s="430"/>
      <c r="P9" s="430"/>
      <c r="Q9" s="430"/>
      <c r="R9" s="430"/>
      <c r="S9" s="430"/>
    </row>
    <row r="10" spans="1:22">
      <c r="A10" s="430" t="s">
        <v>41</v>
      </c>
      <c r="B10" s="430"/>
      <c r="C10" s="430"/>
      <c r="D10" s="430"/>
      <c r="E10" s="430"/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</row>
    <row r="11" spans="1:22" ht="27" customHeight="1">
      <c r="O11" s="366"/>
      <c r="S11" s="3" t="s">
        <v>197</v>
      </c>
      <c r="T11" s="4"/>
      <c r="U11" s="35"/>
      <c r="V11" s="4"/>
    </row>
    <row r="12" spans="1:22" ht="27.75" customHeight="1">
      <c r="A12" s="421" t="s">
        <v>19</v>
      </c>
      <c r="B12" s="533" t="s">
        <v>33</v>
      </c>
      <c r="C12" s="533" t="s">
        <v>34</v>
      </c>
      <c r="D12" s="421" t="s">
        <v>38</v>
      </c>
      <c r="E12" s="11">
        <v>2014</v>
      </c>
      <c r="F12" s="11">
        <v>2015</v>
      </c>
      <c r="G12" s="11">
        <v>2016</v>
      </c>
      <c r="H12" s="11">
        <v>2017</v>
      </c>
      <c r="I12" s="11" t="s">
        <v>50</v>
      </c>
      <c r="J12" s="11" t="s">
        <v>51</v>
      </c>
      <c r="K12" s="11" t="s">
        <v>54</v>
      </c>
      <c r="L12" s="11">
        <v>2021</v>
      </c>
      <c r="M12" s="11">
        <v>2022</v>
      </c>
      <c r="N12" s="11">
        <v>2023</v>
      </c>
      <c r="O12" s="367">
        <v>2024</v>
      </c>
      <c r="P12" s="278">
        <f>O12+1</f>
        <v>2025</v>
      </c>
      <c r="Q12" s="278">
        <v>2026</v>
      </c>
      <c r="R12" s="333">
        <v>2027</v>
      </c>
      <c r="S12" s="533" t="s">
        <v>24</v>
      </c>
      <c r="T12" s="4"/>
      <c r="U12" s="35">
        <f>3620155.974-U15</f>
        <v>5213.5355899999849</v>
      </c>
      <c r="V12" s="4"/>
    </row>
    <row r="13" spans="1:22">
      <c r="A13" s="421"/>
      <c r="B13" s="533"/>
      <c r="C13" s="533"/>
      <c r="D13" s="421"/>
      <c r="E13" s="11" t="s">
        <v>338</v>
      </c>
      <c r="F13" s="11" t="s">
        <v>338</v>
      </c>
      <c r="G13" s="11" t="s">
        <v>338</v>
      </c>
      <c r="H13" s="11" t="s">
        <v>338</v>
      </c>
      <c r="I13" s="11" t="s">
        <v>338</v>
      </c>
      <c r="J13" s="11" t="s">
        <v>338</v>
      </c>
      <c r="K13" s="11" t="s">
        <v>338</v>
      </c>
      <c r="L13" s="11" t="s">
        <v>338</v>
      </c>
      <c r="M13" s="11" t="s">
        <v>338</v>
      </c>
      <c r="N13" s="11" t="s">
        <v>338</v>
      </c>
      <c r="O13" s="367" t="s">
        <v>29</v>
      </c>
      <c r="P13" s="278" t="s">
        <v>29</v>
      </c>
      <c r="Q13" s="278" t="s">
        <v>29</v>
      </c>
      <c r="R13" s="333" t="s">
        <v>29</v>
      </c>
      <c r="S13" s="533"/>
      <c r="T13" s="4"/>
      <c r="U13" s="35"/>
      <c r="V13" s="4"/>
    </row>
    <row r="14" spans="1:22" ht="14.25" customHeight="1">
      <c r="A14" s="126">
        <v>1</v>
      </c>
      <c r="B14" s="126">
        <v>2</v>
      </c>
      <c r="C14" s="126">
        <v>3</v>
      </c>
      <c r="D14" s="126">
        <v>4</v>
      </c>
      <c r="E14" s="11"/>
      <c r="F14" s="11"/>
      <c r="G14" s="11"/>
      <c r="H14" s="11"/>
      <c r="I14" s="11">
        <v>5</v>
      </c>
      <c r="J14" s="11">
        <v>6</v>
      </c>
      <c r="K14" s="11"/>
      <c r="L14" s="11"/>
      <c r="M14" s="11"/>
      <c r="N14" s="11"/>
      <c r="O14" s="367">
        <v>6</v>
      </c>
      <c r="P14" s="278">
        <f>D14+1</f>
        <v>5</v>
      </c>
      <c r="Q14" s="350">
        <v>6</v>
      </c>
      <c r="R14" s="350">
        <v>7</v>
      </c>
      <c r="S14" s="350">
        <v>8</v>
      </c>
      <c r="T14" s="4"/>
      <c r="U14" s="35"/>
      <c r="V14" s="4"/>
    </row>
    <row r="15" spans="1:22">
      <c r="A15" s="530">
        <v>1</v>
      </c>
      <c r="B15" s="536" t="s">
        <v>39</v>
      </c>
      <c r="C15" s="536" t="str">
        <f>'+ Приложение 6'!C15</f>
        <v>Развитие транспортной системы и связи Туруханского района</v>
      </c>
      <c r="D15" s="180" t="s">
        <v>37</v>
      </c>
      <c r="E15" s="181">
        <f>E22+E29+E36+E43</f>
        <v>165376.84903000001</v>
      </c>
      <c r="F15" s="181">
        <f t="shared" ref="F15" si="0">F22+F29+F36+F43</f>
        <v>132504.82329</v>
      </c>
      <c r="G15" s="181">
        <f>G22+G29+G36+G43</f>
        <v>168993.47096999999</v>
      </c>
      <c r="H15" s="181">
        <f>H22+H29+H36+H43</f>
        <v>155455.69513999997</v>
      </c>
      <c r="I15" s="181">
        <f>I22+I29+I36+I43</f>
        <v>165993.04453999997</v>
      </c>
      <c r="J15" s="181">
        <f t="shared" ref="J15" si="1">J22+J29+J36+J43</f>
        <v>190229.62046000001</v>
      </c>
      <c r="K15" s="181">
        <f>K22+K29+K36+K43</f>
        <v>203327.42477000001</v>
      </c>
      <c r="L15" s="181">
        <f>SUM(L18:L19)</f>
        <v>216293.07074</v>
      </c>
      <c r="M15" s="181">
        <f>SUM(M18:M19)</f>
        <v>304576.14327999996</v>
      </c>
      <c r="N15" s="181">
        <f>SUM(N17:N20)</f>
        <v>286771.40119</v>
      </c>
      <c r="O15" s="368">
        <f>O17+O18+O19+O20+O21</f>
        <v>435021.33899999998</v>
      </c>
      <c r="P15" s="198">
        <f>P17+P18+P19+P20+P21</f>
        <v>396003.66000000003</v>
      </c>
      <c r="Q15" s="198">
        <f t="shared" ref="Q15:R15" si="2">Q17+Q18+Q19+Q20+Q21</f>
        <v>397197.94799999997</v>
      </c>
      <c r="R15" s="198">
        <f t="shared" si="2"/>
        <v>397197.94799999997</v>
      </c>
      <c r="S15" s="198">
        <f>S17+S18+S19+S20+S21</f>
        <v>1192353.736</v>
      </c>
      <c r="T15" s="174">
        <f>S15-'+ Приложение 6'!M15</f>
        <v>1954.1800000001676</v>
      </c>
      <c r="U15" s="385">
        <f>SUM(E15:R15)</f>
        <v>3614942.4384099999</v>
      </c>
      <c r="V15" s="171" t="b">
        <f>SUM(U17:U21)=U15</f>
        <v>1</v>
      </c>
    </row>
    <row r="16" spans="1:22">
      <c r="A16" s="530"/>
      <c r="B16" s="536"/>
      <c r="C16" s="536"/>
      <c r="D16" s="127" t="s">
        <v>20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9"/>
      <c r="P16" s="199"/>
      <c r="Q16" s="199"/>
      <c r="R16" s="199"/>
      <c r="S16" s="199"/>
      <c r="T16" s="174"/>
      <c r="U16" s="385">
        <f t="shared" ref="U16:U24" si="3">SUM(E16:R16)</f>
        <v>0</v>
      </c>
    </row>
    <row r="17" spans="1:22">
      <c r="A17" s="530"/>
      <c r="B17" s="536"/>
      <c r="C17" s="536"/>
      <c r="D17" s="5" t="s">
        <v>95</v>
      </c>
      <c r="E17" s="36">
        <f t="shared" ref="E17:I17" si="4">E24+E31+E38+E45</f>
        <v>0</v>
      </c>
      <c r="F17" s="36">
        <f t="shared" si="4"/>
        <v>0</v>
      </c>
      <c r="G17" s="36">
        <f t="shared" si="4"/>
        <v>0</v>
      </c>
      <c r="H17" s="36">
        <f t="shared" ref="H17" si="5">H24+H31+H38+H45</f>
        <v>0</v>
      </c>
      <c r="I17" s="36">
        <f t="shared" si="4"/>
        <v>0</v>
      </c>
      <c r="J17" s="36">
        <f t="shared" ref="J17:O17" si="6">J24+J31+J38+J45</f>
        <v>0</v>
      </c>
      <c r="K17" s="36">
        <f t="shared" ref="K17" si="7">K24+K31+K38+K45</f>
        <v>0</v>
      </c>
      <c r="L17" s="36">
        <v>0</v>
      </c>
      <c r="M17" s="36">
        <v>0</v>
      </c>
      <c r="N17" s="36"/>
      <c r="O17" s="369">
        <f t="shared" si="6"/>
        <v>0</v>
      </c>
      <c r="P17" s="199">
        <f t="shared" ref="P17:Q17" si="8">P24+P31+P38+P45</f>
        <v>0</v>
      </c>
      <c r="Q17" s="199">
        <f t="shared" si="8"/>
        <v>0</v>
      </c>
      <c r="R17" s="199">
        <f t="shared" ref="R17" si="9">R24+R31+R38+R45</f>
        <v>0</v>
      </c>
      <c r="S17" s="199">
        <f>SUM(O17:Q17)</f>
        <v>0</v>
      </c>
      <c r="T17" s="174"/>
      <c r="U17" s="385">
        <f t="shared" si="3"/>
        <v>0</v>
      </c>
    </row>
    <row r="18" spans="1:22">
      <c r="A18" s="530"/>
      <c r="B18" s="536"/>
      <c r="C18" s="536"/>
      <c r="D18" s="127" t="s">
        <v>96</v>
      </c>
      <c r="E18" s="36">
        <f>E25+E32+E39+E46</f>
        <v>33226.424510000004</v>
      </c>
      <c r="F18" s="36">
        <f t="shared" ref="F18:G18" si="10">F25+F32+F39+F46</f>
        <v>33544.400000000001</v>
      </c>
      <c r="G18" s="36">
        <f t="shared" si="10"/>
        <v>55791.640999999996</v>
      </c>
      <c r="H18" s="36">
        <f t="shared" ref="H18" si="11">H25+H32+H39+H46</f>
        <v>50192.994449999998</v>
      </c>
      <c r="I18" s="36">
        <f t="shared" ref="I18:O18" si="12">I25+I32+I39+I46</f>
        <v>43661.469730000004</v>
      </c>
      <c r="J18" s="36">
        <f t="shared" si="12"/>
        <v>52152.521000000001</v>
      </c>
      <c r="K18" s="36">
        <f t="shared" si="12"/>
        <v>43883.485489999999</v>
      </c>
      <c r="L18" s="36">
        <f t="shared" si="12"/>
        <v>63787.420229999996</v>
      </c>
      <c r="M18" s="36">
        <f t="shared" si="12"/>
        <v>21631.39428</v>
      </c>
      <c r="N18" s="36">
        <v>1226.82412</v>
      </c>
      <c r="O18" s="369">
        <f t="shared" si="12"/>
        <v>0</v>
      </c>
      <c r="P18" s="199">
        <f t="shared" ref="P18:Q18" si="13">P25+P32+P39+P46</f>
        <v>2334.5403099999999</v>
      </c>
      <c r="Q18" s="199">
        <f t="shared" si="13"/>
        <v>0</v>
      </c>
      <c r="R18" s="199">
        <f t="shared" ref="R18" si="14">R25+R32+R39+R46</f>
        <v>0</v>
      </c>
      <c r="S18" s="199">
        <f>SUM(O18:Q18)</f>
        <v>2334.5403099999999</v>
      </c>
      <c r="T18" s="174"/>
      <c r="U18" s="385">
        <f t="shared" si="3"/>
        <v>401433.11512000003</v>
      </c>
    </row>
    <row r="19" spans="1:22">
      <c r="A19" s="530"/>
      <c r="B19" s="536"/>
      <c r="C19" s="536"/>
      <c r="D19" s="127" t="s">
        <v>40</v>
      </c>
      <c r="E19" s="36">
        <f>E26+E33+E40+E47</f>
        <v>132150.42452</v>
      </c>
      <c r="F19" s="36">
        <f t="shared" ref="F19:G19" si="15">F26+F33+F40+F47</f>
        <v>98960.423290000006</v>
      </c>
      <c r="G19" s="36">
        <f t="shared" si="15"/>
        <v>113001.82996999999</v>
      </c>
      <c r="H19" s="36">
        <f t="shared" ref="H19" si="16">H26+H33+H40+H47</f>
        <v>105262.70068999998</v>
      </c>
      <c r="I19" s="36">
        <f>I26+I33+I40+I47</f>
        <v>122331.57480999999</v>
      </c>
      <c r="J19" s="36">
        <f t="shared" ref="J19:K19" si="17">J26+J33+J40+J47</f>
        <v>138077.09946</v>
      </c>
      <c r="K19" s="36">
        <f t="shared" si="17"/>
        <v>159443.93927999999</v>
      </c>
      <c r="L19" s="36">
        <f>L26+L33+L40+L47</f>
        <v>152505.65051000001</v>
      </c>
      <c r="M19" s="36">
        <f>M26+M33+M40+M47</f>
        <v>282944.74899999995</v>
      </c>
      <c r="N19" s="36">
        <v>285544.57707</v>
      </c>
      <c r="O19" s="369">
        <f>O26+O33+O40+O47</f>
        <v>435021.33899999998</v>
      </c>
      <c r="P19" s="199">
        <f>P26+P33+P40+P47</f>
        <v>393669.11969000002</v>
      </c>
      <c r="Q19" s="199">
        <f t="shared" ref="Q19:R19" si="18">Q26+Q33+Q40+Q47</f>
        <v>397197.94799999997</v>
      </c>
      <c r="R19" s="199">
        <f t="shared" si="18"/>
        <v>397197.94799999997</v>
      </c>
      <c r="S19" s="199">
        <f>S26+S33+S40+S47</f>
        <v>1190019.19569</v>
      </c>
      <c r="T19" s="174"/>
      <c r="U19" s="385">
        <f t="shared" si="3"/>
        <v>3213309.3232899997</v>
      </c>
    </row>
    <row r="20" spans="1:22" ht="32.25">
      <c r="A20" s="530"/>
      <c r="B20" s="536"/>
      <c r="C20" s="536"/>
      <c r="D20" s="6" t="s">
        <v>97</v>
      </c>
      <c r="E20" s="36">
        <f t="shared" ref="E20:G20" si="19">E27+E34+E41+E48</f>
        <v>0</v>
      </c>
      <c r="F20" s="36">
        <f t="shared" si="19"/>
        <v>0</v>
      </c>
      <c r="G20" s="36">
        <f t="shared" si="19"/>
        <v>0</v>
      </c>
      <c r="H20" s="36">
        <f t="shared" ref="H20" si="20">H27+H34+H41+H48</f>
        <v>0</v>
      </c>
      <c r="I20" s="36">
        <f t="shared" ref="I20:O20" si="21">I27+I34+I41+I48</f>
        <v>0</v>
      </c>
      <c r="J20" s="36">
        <f t="shared" ref="J20:K20" si="22">J27+J34+J41+J48</f>
        <v>0</v>
      </c>
      <c r="K20" s="36">
        <f t="shared" si="22"/>
        <v>0</v>
      </c>
      <c r="L20" s="36">
        <v>0</v>
      </c>
      <c r="M20" s="36">
        <v>0</v>
      </c>
      <c r="N20" s="36"/>
      <c r="O20" s="369">
        <f t="shared" si="21"/>
        <v>0</v>
      </c>
      <c r="P20" s="199">
        <f t="shared" ref="P20:Q20" si="23">P27+P34+P41+P48</f>
        <v>0</v>
      </c>
      <c r="Q20" s="199">
        <f t="shared" si="23"/>
        <v>0</v>
      </c>
      <c r="R20" s="199">
        <f t="shared" ref="R20" si="24">R27+R34+R41+R48</f>
        <v>0</v>
      </c>
      <c r="S20" s="199">
        <f>SUM(O20:Q20)</f>
        <v>0</v>
      </c>
      <c r="T20" s="174"/>
      <c r="U20" s="385">
        <f t="shared" si="3"/>
        <v>0</v>
      </c>
    </row>
    <row r="21" spans="1:22" ht="19.5" thickBot="1">
      <c r="A21" s="530"/>
      <c r="B21" s="536"/>
      <c r="C21" s="536"/>
      <c r="D21" s="127" t="s">
        <v>21</v>
      </c>
      <c r="E21" s="36">
        <f t="shared" ref="E21:G21" si="25">E28+E35+E42+E49</f>
        <v>0</v>
      </c>
      <c r="F21" s="36">
        <f t="shared" si="25"/>
        <v>0</v>
      </c>
      <c r="G21" s="36">
        <f t="shared" si="25"/>
        <v>200</v>
      </c>
      <c r="H21" s="36">
        <f t="shared" ref="H21" si="26">H28+H35+H42+H49</f>
        <v>0</v>
      </c>
      <c r="I21" s="36">
        <f t="shared" ref="I21:O21" si="27">I28+I35+I42+I49</f>
        <v>0</v>
      </c>
      <c r="J21" s="36">
        <f t="shared" ref="J21:K21" si="28">J28+J35+J42+J49</f>
        <v>0</v>
      </c>
      <c r="K21" s="36">
        <f t="shared" si="28"/>
        <v>0</v>
      </c>
      <c r="L21" s="36">
        <v>0</v>
      </c>
      <c r="M21" s="36"/>
      <c r="N21" s="36"/>
      <c r="O21" s="369">
        <f t="shared" si="27"/>
        <v>0</v>
      </c>
      <c r="P21" s="199">
        <f t="shared" ref="P21:Q21" si="29">P28+P35+P42+P49</f>
        <v>0</v>
      </c>
      <c r="Q21" s="199">
        <f t="shared" si="29"/>
        <v>0</v>
      </c>
      <c r="R21" s="199">
        <f t="shared" ref="R21" si="30">R28+R35+R42+R49</f>
        <v>0</v>
      </c>
      <c r="S21" s="199">
        <f>SUM(O21:Q21)</f>
        <v>0</v>
      </c>
      <c r="T21" s="174"/>
      <c r="U21" s="385">
        <f t="shared" si="3"/>
        <v>200</v>
      </c>
    </row>
    <row r="22" spans="1:22" s="383" customFormat="1">
      <c r="A22" s="530" t="s">
        <v>3</v>
      </c>
      <c r="B22" s="536" t="s">
        <v>15</v>
      </c>
      <c r="C22" s="536" t="str">
        <f>'+ Приложение 6'!C21</f>
        <v>Развитие транспортного комплекса, обеспечение сохранности и модернизации автомобильных дорог Туруханского района</v>
      </c>
      <c r="D22" s="361" t="s">
        <v>37</v>
      </c>
      <c r="E22" s="181">
        <f>SUM(E24:E28)</f>
        <v>38654.857510000002</v>
      </c>
      <c r="F22" s="181">
        <f t="shared" ref="F22:H22" si="31">SUM(F24:F28)</f>
        <v>38642.90999</v>
      </c>
      <c r="G22" s="181">
        <f t="shared" si="31"/>
        <v>64679.243999999999</v>
      </c>
      <c r="H22" s="181">
        <f t="shared" si="31"/>
        <v>51991.447849999997</v>
      </c>
      <c r="I22" s="181">
        <f>SUM(I24:I28)</f>
        <v>46554.788160000011</v>
      </c>
      <c r="J22" s="181">
        <f t="shared" ref="J22:K22" si="32">SUM(J24:J28)</f>
        <v>59160.668460000001</v>
      </c>
      <c r="K22" s="181">
        <f t="shared" si="32"/>
        <v>61245.158410000004</v>
      </c>
      <c r="L22" s="181">
        <f>SUM(L25:L26)</f>
        <v>84378.761629999994</v>
      </c>
      <c r="M22" s="181">
        <f>SUM(M24:M27)</f>
        <v>92939.361000000004</v>
      </c>
      <c r="N22" s="181">
        <v>95419.376130000004</v>
      </c>
      <c r="O22" s="368">
        <f>SUM(O24:O28)</f>
        <v>106855.57399999999</v>
      </c>
      <c r="P22" s="198">
        <f>P26</f>
        <v>115456.38199999998</v>
      </c>
      <c r="Q22" s="198">
        <f>Q26</f>
        <v>103104.58499999999</v>
      </c>
      <c r="R22" s="198">
        <f>R26</f>
        <v>103104.58499999999</v>
      </c>
      <c r="S22" s="198">
        <f>SUM(P22:R22)</f>
        <v>321665.55199999997</v>
      </c>
      <c r="T22" s="382">
        <f>S22-'+ Приложение 6'!M21</f>
        <v>0</v>
      </c>
      <c r="U22" s="385">
        <f>SUM(E22:R22)</f>
        <v>1062187.6991399999</v>
      </c>
      <c r="V22" s="383" t="b">
        <f>SUM(U24:U28)=U22</f>
        <v>1</v>
      </c>
    </row>
    <row r="23" spans="1:22" s="386" customFormat="1">
      <c r="A23" s="530"/>
      <c r="B23" s="536"/>
      <c r="C23" s="536"/>
      <c r="D23" s="352" t="s">
        <v>20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9"/>
      <c r="P23" s="199"/>
      <c r="Q23" s="199"/>
      <c r="R23" s="199"/>
      <c r="S23" s="199"/>
      <c r="T23" s="384"/>
      <c r="U23" s="385">
        <f t="shared" si="3"/>
        <v>0</v>
      </c>
    </row>
    <row r="24" spans="1:22" s="386" customFormat="1">
      <c r="A24" s="530"/>
      <c r="B24" s="536"/>
      <c r="C24" s="536"/>
      <c r="D24" s="5" t="s">
        <v>95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9"/>
      <c r="P24" s="199"/>
      <c r="Q24" s="199"/>
      <c r="R24" s="199"/>
      <c r="S24" s="199">
        <f t="shared" ref="S24:S28" si="33">SUM(O24:Q24)</f>
        <v>0</v>
      </c>
      <c r="T24" s="384"/>
      <c r="U24" s="385">
        <f t="shared" si="3"/>
        <v>0</v>
      </c>
    </row>
    <row r="25" spans="1:22" s="386" customFormat="1">
      <c r="A25" s="530"/>
      <c r="B25" s="536"/>
      <c r="C25" s="536"/>
      <c r="D25" s="352" t="s">
        <v>96</v>
      </c>
      <c r="E25" s="36">
        <v>33203.024510000003</v>
      </c>
      <c r="F25" s="36">
        <v>33544.400000000001</v>
      </c>
      <c r="G25" s="36">
        <v>55649.004999999997</v>
      </c>
      <c r="H25" s="36">
        <v>47780.994449999998</v>
      </c>
      <c r="I25" s="36">
        <v>40519.269730000007</v>
      </c>
      <c r="J25" s="36">
        <f>49498.086-220.5</f>
        <v>49277.586000000003</v>
      </c>
      <c r="K25" s="36">
        <f>40623031.49/1000</f>
        <v>40623.031490000001</v>
      </c>
      <c r="L25" s="36">
        <v>62537.988089999999</v>
      </c>
      <c r="M25" s="36">
        <v>19900</v>
      </c>
      <c r="N25" s="36"/>
      <c r="O25" s="369">
        <f>'пр к ПП1'!J26</f>
        <v>0</v>
      </c>
      <c r="P25" s="199">
        <f>'пр к ПП1'!L26</f>
        <v>0</v>
      </c>
      <c r="Q25" s="199">
        <f>'пр к ПП1'!M26</f>
        <v>0</v>
      </c>
      <c r="R25" s="199">
        <f>'пр к ПП1'!N26</f>
        <v>0</v>
      </c>
      <c r="S25" s="199">
        <f t="shared" si="33"/>
        <v>0</v>
      </c>
      <c r="T25" s="384"/>
      <c r="U25" s="385">
        <f>SUM(E25:R25)</f>
        <v>383035.29927000002</v>
      </c>
    </row>
    <row r="26" spans="1:22" s="386" customFormat="1">
      <c r="A26" s="530"/>
      <c r="B26" s="536"/>
      <c r="C26" s="536"/>
      <c r="D26" s="352" t="s">
        <v>40</v>
      </c>
      <c r="E26" s="36">
        <v>5451.8330000000005</v>
      </c>
      <c r="F26" s="36">
        <v>5098.5099900000005</v>
      </c>
      <c r="G26" s="36">
        <v>8830.2389999999996</v>
      </c>
      <c r="H26" s="36">
        <v>4210.4534000000003</v>
      </c>
      <c r="I26" s="36">
        <v>6035.5184300000001</v>
      </c>
      <c r="J26" s="36">
        <f>4174.297+5708.78546</f>
        <v>9883.0824599999996</v>
      </c>
      <c r="K26" s="36">
        <f>20622126.92/1000</f>
        <v>20622.126920000002</v>
      </c>
      <c r="L26" s="36">
        <v>21840.773539999998</v>
      </c>
      <c r="M26" s="36">
        <v>73039.361000000004</v>
      </c>
      <c r="N26" s="36">
        <v>95419.376130000004</v>
      </c>
      <c r="O26" s="369">
        <f>'пр к ПП1'!J15+'пр к ПП1'!J17+'пр к ПП1'!J19+'пр к ПП1'!J20+'пр к ПП1'!J22+'пр к ПП1'!J29+'пр к ПП1'!J31+'пр к ПП1'!J33</f>
        <v>106855.57399999999</v>
      </c>
      <c r="P26" s="381">
        <f>'пр к ПП1'!K15+'пр к ПП1'!K17+'пр к ПП1'!K19+'пр к ПП1'!K20+'пр к ПП1'!K22+'пр к ПП1'!K29+'пр к ПП1'!K31+'пр к ПП1'!K33</f>
        <v>115456.38199999998</v>
      </c>
      <c r="Q26" s="381">
        <f>'пр к ПП1'!L15+'пр к ПП1'!L17+'пр к ПП1'!L19+'пр к ПП1'!L20+'пр к ПП1'!L22+'пр к ПП1'!L29+'пр к ПП1'!L31+'пр к ПП1'!L33</f>
        <v>103104.58499999999</v>
      </c>
      <c r="R26" s="381">
        <f>'пр к ПП1'!M15+'пр к ПП1'!M17+'пр к ПП1'!M19+'пр к ПП1'!M20+'пр к ПП1'!M22+'пр к ПП1'!M29+'пр к ПП1'!M31+'пр к ПП1'!M33</f>
        <v>103104.58499999999</v>
      </c>
      <c r="S26" s="381">
        <f>'пр к ПП1'!N15+'пр к ПП1'!N17+'пр к ПП1'!N19+'пр к ПП1'!N20+'пр к ПП1'!N22+'пр к ПП1'!N29+'пр к ПП1'!N31+'пр к ПП1'!N33</f>
        <v>321665.55200000003</v>
      </c>
      <c r="T26" s="384"/>
      <c r="U26" s="385">
        <f t="shared" ref="U26:U49" si="34">SUM(E26:R26)</f>
        <v>678952.39986999985</v>
      </c>
    </row>
    <row r="27" spans="1:22" s="386" customFormat="1" ht="32.25">
      <c r="A27" s="530"/>
      <c r="B27" s="536"/>
      <c r="C27" s="536"/>
      <c r="D27" s="6" t="s">
        <v>97</v>
      </c>
      <c r="E27" s="37"/>
      <c r="F27" s="37">
        <v>0</v>
      </c>
      <c r="G27" s="37"/>
      <c r="H27" s="37"/>
      <c r="I27" s="36"/>
      <c r="J27" s="36"/>
      <c r="K27" s="36"/>
      <c r="L27" s="36"/>
      <c r="M27" s="36"/>
      <c r="N27" s="36"/>
      <c r="O27" s="369"/>
      <c r="P27" s="199"/>
      <c r="Q27" s="199"/>
      <c r="R27" s="199"/>
      <c r="S27" s="199">
        <f t="shared" si="33"/>
        <v>0</v>
      </c>
      <c r="T27" s="384"/>
      <c r="U27" s="385">
        <f t="shared" si="34"/>
        <v>0</v>
      </c>
    </row>
    <row r="28" spans="1:22" s="388" customFormat="1" ht="19.5" thickBot="1">
      <c r="A28" s="530"/>
      <c r="B28" s="536"/>
      <c r="C28" s="536"/>
      <c r="D28" s="352" t="s">
        <v>21</v>
      </c>
      <c r="E28" s="36"/>
      <c r="F28" s="36"/>
      <c r="G28" s="36">
        <v>200</v>
      </c>
      <c r="H28" s="36"/>
      <c r="I28" s="36"/>
      <c r="J28" s="36"/>
      <c r="K28" s="36"/>
      <c r="L28" s="36"/>
      <c r="M28" s="36"/>
      <c r="N28" s="36"/>
      <c r="O28" s="369"/>
      <c r="P28" s="199"/>
      <c r="Q28" s="199"/>
      <c r="R28" s="199"/>
      <c r="S28" s="199">
        <f t="shared" si="33"/>
        <v>0</v>
      </c>
      <c r="T28" s="387"/>
      <c r="U28" s="385">
        <f t="shared" si="34"/>
        <v>200</v>
      </c>
    </row>
    <row r="29" spans="1:22" s="383" customFormat="1">
      <c r="A29" s="530" t="s">
        <v>79</v>
      </c>
      <c r="B29" s="536" t="s">
        <v>86</v>
      </c>
      <c r="C29" s="536" t="str">
        <f>'+ Приложение 6'!C25</f>
        <v>Организация транспортного обслуживания  на территории Туруханского района</v>
      </c>
      <c r="D29" s="361" t="s">
        <v>37</v>
      </c>
      <c r="E29" s="181">
        <f t="shared" ref="E29:H29" si="35">SUM(E31:E35)</f>
        <v>119174.72440000001</v>
      </c>
      <c r="F29" s="181">
        <f t="shared" si="35"/>
        <v>81921.9133</v>
      </c>
      <c r="G29" s="181">
        <f t="shared" si="35"/>
        <v>94460.706969999999</v>
      </c>
      <c r="H29" s="181">
        <f t="shared" si="35"/>
        <v>91047.031289999984</v>
      </c>
      <c r="I29" s="181">
        <f>SUM(I31:I35)</f>
        <v>106290.91970999999</v>
      </c>
      <c r="J29" s="181">
        <f>SUM(J31:J35)</f>
        <v>118180.678</v>
      </c>
      <c r="K29" s="181">
        <f>SUM(K31:K35)</f>
        <v>128821.81236</v>
      </c>
      <c r="L29" s="181">
        <f>SUM(L33)</f>
        <v>116262.37311</v>
      </c>
      <c r="M29" s="181">
        <f>SUM(M30:M35)</f>
        <v>198901.91800000001</v>
      </c>
      <c r="N29" s="181">
        <v>175384.80768</v>
      </c>
      <c r="O29" s="368">
        <f>SUM(O31:O35)</f>
        <v>310611.58499999996</v>
      </c>
      <c r="P29" s="198">
        <f t="shared" ref="P29:Q29" si="36">SUM(P31:P35)</f>
        <v>266201.00637000002</v>
      </c>
      <c r="Q29" s="198">
        <f t="shared" si="36"/>
        <v>278493.36300000001</v>
      </c>
      <c r="R29" s="198">
        <f t="shared" ref="R29" si="37">SUM(R31:R35)</f>
        <v>278493.36300000001</v>
      </c>
      <c r="S29" s="198">
        <f>SUM(S31:S35)</f>
        <v>823187.73236999998</v>
      </c>
      <c r="T29" s="382">
        <f>S29-'+ Приложение 6'!M25</f>
        <v>0</v>
      </c>
      <c r="U29" s="385">
        <f>SUM(E29:R29)</f>
        <v>2364246.2021900001</v>
      </c>
      <c r="V29" s="383" t="b">
        <f>SUM(U31:U35)=U29</f>
        <v>1</v>
      </c>
    </row>
    <row r="30" spans="1:22" s="386" customFormat="1">
      <c r="A30" s="530"/>
      <c r="B30" s="536"/>
      <c r="C30" s="536"/>
      <c r="D30" s="352" t="s">
        <v>20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9"/>
      <c r="P30" s="199"/>
      <c r="Q30" s="199"/>
      <c r="R30" s="199"/>
      <c r="S30" s="199"/>
      <c r="T30" s="384"/>
      <c r="U30" s="385">
        <f t="shared" si="34"/>
        <v>0</v>
      </c>
    </row>
    <row r="31" spans="1:22" s="386" customFormat="1">
      <c r="A31" s="530"/>
      <c r="B31" s="536"/>
      <c r="C31" s="536"/>
      <c r="D31" s="5" t="s">
        <v>95</v>
      </c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9"/>
      <c r="P31" s="199"/>
      <c r="Q31" s="199"/>
      <c r="R31" s="199"/>
      <c r="S31" s="199">
        <f t="shared" ref="S31:S36" si="38">SUM(O31:Q31)</f>
        <v>0</v>
      </c>
      <c r="T31" s="384"/>
      <c r="U31" s="385">
        <f t="shared" si="34"/>
        <v>0</v>
      </c>
    </row>
    <row r="32" spans="1:22" s="386" customFormat="1">
      <c r="A32" s="530"/>
      <c r="B32" s="536"/>
      <c r="C32" s="536"/>
      <c r="D32" s="352" t="s">
        <v>96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9"/>
      <c r="P32" s="381"/>
      <c r="Q32" s="381"/>
      <c r="R32" s="381"/>
      <c r="S32" s="381">
        <f t="shared" si="38"/>
        <v>0</v>
      </c>
      <c r="T32" s="384"/>
      <c r="U32" s="385">
        <f t="shared" si="34"/>
        <v>0</v>
      </c>
    </row>
    <row r="33" spans="1:22" s="386" customFormat="1">
      <c r="A33" s="530"/>
      <c r="B33" s="536"/>
      <c r="C33" s="536"/>
      <c r="D33" s="352" t="s">
        <v>40</v>
      </c>
      <c r="E33" s="36">
        <v>119174.72440000001</v>
      </c>
      <c r="F33" s="36">
        <v>81921.9133</v>
      </c>
      <c r="G33" s="36">
        <v>94460.706969999999</v>
      </c>
      <c r="H33" s="36">
        <v>91047.031289999984</v>
      </c>
      <c r="I33" s="36">
        <v>106290.91970999999</v>
      </c>
      <c r="J33" s="36">
        <v>118180.678</v>
      </c>
      <c r="K33" s="36">
        <v>128821.81236</v>
      </c>
      <c r="L33" s="36">
        <v>116262.37311</v>
      </c>
      <c r="M33" s="36">
        <v>198901.91800000001</v>
      </c>
      <c r="N33" s="36">
        <v>175384.80768</v>
      </c>
      <c r="O33" s="369">
        <f>'+ пр к ПП2'!J50</f>
        <v>310611.58499999996</v>
      </c>
      <c r="P33" s="381">
        <f>'+ пр к ПП2'!K50</f>
        <v>266201.00637000002</v>
      </c>
      <c r="Q33" s="381">
        <f>'+ пр к ПП2'!L50</f>
        <v>278493.36300000001</v>
      </c>
      <c r="R33" s="381">
        <f>'+ пр к ПП2'!M50</f>
        <v>278493.36300000001</v>
      </c>
      <c r="S33" s="381">
        <f>'+ пр к ПП2'!N50</f>
        <v>823187.73236999998</v>
      </c>
      <c r="T33" s="384"/>
      <c r="U33" s="385">
        <f>SUM(E33:R33)</f>
        <v>2364246.2021900001</v>
      </c>
    </row>
    <row r="34" spans="1:22" s="386" customFormat="1" ht="32.25">
      <c r="A34" s="530"/>
      <c r="B34" s="536"/>
      <c r="C34" s="536"/>
      <c r="D34" s="6" t="s">
        <v>97</v>
      </c>
      <c r="E34" s="37"/>
      <c r="F34" s="37"/>
      <c r="G34" s="37"/>
      <c r="H34" s="37"/>
      <c r="I34" s="36"/>
      <c r="J34" s="36"/>
      <c r="K34" s="36"/>
      <c r="L34" s="36"/>
      <c r="M34" s="36"/>
      <c r="N34" s="36"/>
      <c r="O34" s="369"/>
      <c r="P34" s="199"/>
      <c r="Q34" s="199"/>
      <c r="R34" s="199"/>
      <c r="S34" s="199">
        <f t="shared" si="38"/>
        <v>0</v>
      </c>
      <c r="T34" s="384"/>
      <c r="U34" s="385">
        <f t="shared" si="34"/>
        <v>0</v>
      </c>
    </row>
    <row r="35" spans="1:22" s="388" customFormat="1" ht="19.5" thickBot="1">
      <c r="A35" s="530"/>
      <c r="B35" s="536"/>
      <c r="C35" s="536"/>
      <c r="D35" s="352" t="s">
        <v>21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9"/>
      <c r="P35" s="199"/>
      <c r="Q35" s="199"/>
      <c r="R35" s="199"/>
      <c r="S35" s="199">
        <f t="shared" si="38"/>
        <v>0</v>
      </c>
      <c r="T35" s="387"/>
      <c r="U35" s="385">
        <f t="shared" si="34"/>
        <v>0</v>
      </c>
    </row>
    <row r="36" spans="1:22" s="383" customFormat="1">
      <c r="A36" s="530" t="s">
        <v>81</v>
      </c>
      <c r="B36" s="536" t="s">
        <v>87</v>
      </c>
      <c r="C36" s="536" t="str">
        <f>'+ Приложение 6'!C30</f>
        <v>Безопасность дорожного движения в Туруханском районе</v>
      </c>
      <c r="D36" s="361" t="s">
        <v>37</v>
      </c>
      <c r="E36" s="181">
        <f t="shared" ref="E36:H36" si="39">SUM(E38:E42)</f>
        <v>23.4</v>
      </c>
      <c r="F36" s="181">
        <f t="shared" si="39"/>
        <v>0</v>
      </c>
      <c r="G36" s="181">
        <f t="shared" si="39"/>
        <v>463.12</v>
      </c>
      <c r="H36" s="181">
        <f t="shared" si="39"/>
        <v>152.5</v>
      </c>
      <c r="I36" s="181">
        <f>SUM(I38:I42)</f>
        <v>80</v>
      </c>
      <c r="J36" s="181">
        <f t="shared" ref="J36:O36" si="40">SUM(J38:J42)</f>
        <v>220.5</v>
      </c>
      <c r="K36" s="181">
        <f t="shared" si="40"/>
        <v>744</v>
      </c>
      <c r="L36" s="181">
        <f>SUM(L39:L40)</f>
        <v>0</v>
      </c>
      <c r="M36" s="181">
        <f>SUM(M39:M40)</f>
        <v>0</v>
      </c>
      <c r="N36" s="181">
        <v>3734.2281800000001</v>
      </c>
      <c r="O36" s="368">
        <f t="shared" si="40"/>
        <v>0</v>
      </c>
      <c r="P36" s="198">
        <f t="shared" ref="P36:Q36" si="41">SUM(P38:P42)</f>
        <v>0</v>
      </c>
      <c r="Q36" s="198">
        <f t="shared" si="41"/>
        <v>0</v>
      </c>
      <c r="R36" s="198">
        <f t="shared" ref="R36" si="42">SUM(R38:R42)</f>
        <v>0</v>
      </c>
      <c r="S36" s="198">
        <f t="shared" si="38"/>
        <v>0</v>
      </c>
      <c r="T36" s="389">
        <f>S36-'+ Приложение 6'!M30</f>
        <v>0</v>
      </c>
      <c r="U36" s="385">
        <f>SUM(E36:R36)</f>
        <v>5417.7481800000005</v>
      </c>
      <c r="V36" s="383" t="b">
        <f>SUM(U38:U42)=U36</f>
        <v>1</v>
      </c>
    </row>
    <row r="37" spans="1:22" s="386" customFormat="1">
      <c r="A37" s="530"/>
      <c r="B37" s="536"/>
      <c r="C37" s="536"/>
      <c r="D37" s="352" t="s">
        <v>20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9"/>
      <c r="P37" s="199"/>
      <c r="Q37" s="199"/>
      <c r="R37" s="199"/>
      <c r="S37" s="199"/>
      <c r="T37" s="384"/>
      <c r="U37" s="385">
        <f t="shared" si="34"/>
        <v>0</v>
      </c>
    </row>
    <row r="38" spans="1:22" s="386" customFormat="1">
      <c r="A38" s="530"/>
      <c r="B38" s="536"/>
      <c r="C38" s="536"/>
      <c r="D38" s="5" t="s">
        <v>95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9"/>
      <c r="P38" s="199"/>
      <c r="Q38" s="199"/>
      <c r="R38" s="199"/>
      <c r="S38" s="199">
        <f t="shared" ref="S38:S43" si="43">SUM(O38:Q38)</f>
        <v>0</v>
      </c>
      <c r="T38" s="384"/>
      <c r="U38" s="385">
        <f t="shared" si="34"/>
        <v>0</v>
      </c>
    </row>
    <row r="39" spans="1:22" s="386" customFormat="1">
      <c r="A39" s="530"/>
      <c r="B39" s="536"/>
      <c r="C39" s="536"/>
      <c r="D39" s="352" t="s">
        <v>96</v>
      </c>
      <c r="E39" s="36">
        <v>23.4</v>
      </c>
      <c r="F39" s="36">
        <v>0</v>
      </c>
      <c r="G39" s="36">
        <v>142.636</v>
      </c>
      <c r="H39" s="36">
        <v>152</v>
      </c>
      <c r="I39" s="36">
        <v>80</v>
      </c>
      <c r="J39" s="36">
        <v>220.5</v>
      </c>
      <c r="K39" s="36">
        <v>744</v>
      </c>
      <c r="L39" s="36">
        <v>0</v>
      </c>
      <c r="M39" s="36">
        <v>0</v>
      </c>
      <c r="N39" s="36"/>
      <c r="O39" s="369">
        <f>'+пр к ПП3'!J18+'+пр к ПП3'!J22</f>
        <v>0</v>
      </c>
      <c r="P39" s="381">
        <f>'+пр к ПП3'!K18+'+пр к ПП3'!K22</f>
        <v>0</v>
      </c>
      <c r="Q39" s="381">
        <f>'+пр к ПП3'!L18+'+пр к ПП3'!L22</f>
        <v>0</v>
      </c>
      <c r="R39" s="381">
        <f>'+пр к ПП3'!N18+'+пр к ПП3'!N22</f>
        <v>0</v>
      </c>
      <c r="S39" s="381">
        <f t="shared" si="43"/>
        <v>0</v>
      </c>
      <c r="T39" s="384"/>
      <c r="U39" s="385">
        <f t="shared" si="34"/>
        <v>1362.5360000000001</v>
      </c>
    </row>
    <row r="40" spans="1:22" s="386" customFormat="1">
      <c r="A40" s="530"/>
      <c r="B40" s="536"/>
      <c r="C40" s="536"/>
      <c r="D40" s="352" t="s">
        <v>40</v>
      </c>
      <c r="E40" s="36">
        <v>0</v>
      </c>
      <c r="F40" s="36">
        <v>0</v>
      </c>
      <c r="G40" s="36">
        <v>320.48399999999998</v>
      </c>
      <c r="H40" s="36">
        <v>0.5</v>
      </c>
      <c r="I40" s="36">
        <v>0</v>
      </c>
      <c r="J40" s="36">
        <f>'+пр к ПП3'!G16</f>
        <v>0</v>
      </c>
      <c r="K40" s="36">
        <v>0</v>
      </c>
      <c r="L40" s="36">
        <v>0</v>
      </c>
      <c r="M40" s="36">
        <v>0</v>
      </c>
      <c r="N40" s="36">
        <v>3734.2281800000001</v>
      </c>
      <c r="O40" s="369">
        <f>'+пр к ПП3'!J16</f>
        <v>0</v>
      </c>
      <c r="P40" s="199">
        <f>'+пр к ПП3'!K16</f>
        <v>0</v>
      </c>
      <c r="Q40" s="199">
        <f>'+пр к ПП3'!L16</f>
        <v>0</v>
      </c>
      <c r="R40" s="199">
        <f>'+пр к ПП3'!N16</f>
        <v>0</v>
      </c>
      <c r="S40" s="199">
        <f t="shared" si="43"/>
        <v>0</v>
      </c>
      <c r="T40" s="384"/>
      <c r="U40" s="385">
        <f t="shared" si="34"/>
        <v>4055.21218</v>
      </c>
    </row>
    <row r="41" spans="1:22" s="386" customFormat="1" ht="32.25">
      <c r="A41" s="530"/>
      <c r="B41" s="536"/>
      <c r="C41" s="536"/>
      <c r="D41" s="6" t="s">
        <v>97</v>
      </c>
      <c r="E41" s="37"/>
      <c r="F41" s="37"/>
      <c r="G41" s="37"/>
      <c r="H41" s="37"/>
      <c r="I41" s="36"/>
      <c r="J41" s="36"/>
      <c r="K41" s="36"/>
      <c r="L41" s="36"/>
      <c r="M41" s="36"/>
      <c r="N41" s="36"/>
      <c r="O41" s="369"/>
      <c r="P41" s="199"/>
      <c r="Q41" s="199"/>
      <c r="R41" s="199"/>
      <c r="S41" s="199">
        <f t="shared" si="43"/>
        <v>0</v>
      </c>
      <c r="T41" s="384"/>
      <c r="U41" s="385">
        <f t="shared" si="34"/>
        <v>0</v>
      </c>
    </row>
    <row r="42" spans="1:22" s="388" customFormat="1" ht="19.5" thickBot="1">
      <c r="A42" s="530"/>
      <c r="B42" s="536"/>
      <c r="C42" s="536"/>
      <c r="D42" s="352" t="s">
        <v>21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9"/>
      <c r="P42" s="199"/>
      <c r="Q42" s="199"/>
      <c r="R42" s="199"/>
      <c r="S42" s="199">
        <f t="shared" si="43"/>
        <v>0</v>
      </c>
      <c r="T42" s="387"/>
      <c r="U42" s="385">
        <f t="shared" si="34"/>
        <v>0</v>
      </c>
    </row>
    <row r="43" spans="1:22" s="176" customFormat="1">
      <c r="A43" s="530" t="s">
        <v>82</v>
      </c>
      <c r="B43" s="536" t="s">
        <v>88</v>
      </c>
      <c r="C43" s="536" t="str">
        <f>'+ Приложение 6'!C34</f>
        <v>Развитие связи на территории Туруханского района</v>
      </c>
      <c r="D43" s="180" t="s">
        <v>37</v>
      </c>
      <c r="E43" s="181">
        <f t="shared" ref="E43:H43" si="44">SUM(E45:E49)</f>
        <v>7523.8671199999999</v>
      </c>
      <c r="F43" s="181">
        <f t="shared" si="44"/>
        <v>11940</v>
      </c>
      <c r="G43" s="181">
        <f t="shared" si="44"/>
        <v>9390.4</v>
      </c>
      <c r="H43" s="181">
        <f t="shared" si="44"/>
        <v>12264.716</v>
      </c>
      <c r="I43" s="181">
        <f>SUM(I45:I49)</f>
        <v>13067.336670000001</v>
      </c>
      <c r="J43" s="181">
        <f t="shared" ref="J43:O43" si="45">SUM(J45:J49)</f>
        <v>12667.773999999999</v>
      </c>
      <c r="K43" s="181">
        <f t="shared" si="45"/>
        <v>12516.454</v>
      </c>
      <c r="L43" s="181">
        <f>SUM(L46:L47)</f>
        <v>15651.936000000002</v>
      </c>
      <c r="M43" s="181">
        <f>SUM(M46:M47)</f>
        <v>12734.86428</v>
      </c>
      <c r="N43" s="181">
        <v>12232.9892</v>
      </c>
      <c r="O43" s="368">
        <f t="shared" si="45"/>
        <v>17554.18</v>
      </c>
      <c r="P43" s="198">
        <f t="shared" ref="P43:Q43" si="46">SUM(P45:P49)</f>
        <v>14346.271629999999</v>
      </c>
      <c r="Q43" s="198">
        <f t="shared" si="46"/>
        <v>15600</v>
      </c>
      <c r="R43" s="198">
        <f t="shared" ref="R43" si="47">SUM(R45:R49)</f>
        <v>15600</v>
      </c>
      <c r="S43" s="198">
        <f t="shared" si="43"/>
        <v>47500.451629999996</v>
      </c>
      <c r="T43" s="175">
        <f>S43-'+ Приложение 6'!M34</f>
        <v>1954.179999999993</v>
      </c>
      <c r="U43" s="385">
        <f>SUM(E43:R43)</f>
        <v>183090.78889999999</v>
      </c>
      <c r="V43" s="176" t="b">
        <f>SUM(U45:U49)=U43</f>
        <v>1</v>
      </c>
    </row>
    <row r="44" spans="1:22" s="177" customFormat="1">
      <c r="A44" s="530"/>
      <c r="B44" s="536"/>
      <c r="C44" s="536"/>
      <c r="D44" s="127" t="s">
        <v>20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9"/>
      <c r="P44" s="199"/>
      <c r="Q44" s="199"/>
      <c r="R44" s="199"/>
      <c r="S44" s="199"/>
      <c r="T44" s="114"/>
      <c r="U44" s="385">
        <f t="shared" si="34"/>
        <v>0</v>
      </c>
    </row>
    <row r="45" spans="1:22" s="177" customFormat="1">
      <c r="A45" s="530"/>
      <c r="B45" s="536"/>
      <c r="C45" s="536"/>
      <c r="D45" s="5" t="s">
        <v>95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9"/>
      <c r="P45" s="199"/>
      <c r="Q45" s="199"/>
      <c r="R45" s="199"/>
      <c r="S45" s="199">
        <f t="shared" ref="S45:S49" si="48">SUM(O45:Q45)</f>
        <v>0</v>
      </c>
      <c r="T45" s="114"/>
      <c r="U45" s="385">
        <f t="shared" si="34"/>
        <v>0</v>
      </c>
    </row>
    <row r="46" spans="1:22" s="177" customFormat="1">
      <c r="A46" s="530"/>
      <c r="B46" s="536"/>
      <c r="C46" s="536"/>
      <c r="D46" s="127" t="s">
        <v>96</v>
      </c>
      <c r="E46" s="36"/>
      <c r="F46" s="36"/>
      <c r="G46" s="36"/>
      <c r="H46" s="36">
        <v>2260</v>
      </c>
      <c r="I46" s="36">
        <v>3062.2</v>
      </c>
      <c r="J46" s="36">
        <f>2654.435</f>
        <v>2654.4349999999999</v>
      </c>
      <c r="K46" s="36">
        <v>2516.4540000000002</v>
      </c>
      <c r="L46" s="36">
        <v>1249.4321399999999</v>
      </c>
      <c r="M46" s="36">
        <v>1731.39428</v>
      </c>
      <c r="N46" s="36">
        <v>1226.82412</v>
      </c>
      <c r="O46" s="369">
        <f>'+пр к ПП4'!J17</f>
        <v>0</v>
      </c>
      <c r="P46" s="199">
        <f>'+пр к ПП4'!K23+'+пр к ПП4'!K24</f>
        <v>2334.5403099999999</v>
      </c>
      <c r="Q46" s="199">
        <f>'+пр к ПП4'!L17</f>
        <v>0</v>
      </c>
      <c r="R46" s="199">
        <f>'+пр к ПП4'!M17</f>
        <v>0</v>
      </c>
      <c r="S46" s="199">
        <f t="shared" si="48"/>
        <v>2334.5403099999999</v>
      </c>
      <c r="T46" s="114"/>
      <c r="U46" s="385">
        <f t="shared" si="34"/>
        <v>17035.279849999999</v>
      </c>
    </row>
    <row r="47" spans="1:22" s="177" customFormat="1">
      <c r="A47" s="530"/>
      <c r="B47" s="536"/>
      <c r="C47" s="536"/>
      <c r="D47" s="127" t="s">
        <v>40</v>
      </c>
      <c r="E47" s="36">
        <v>7523.8671199999999</v>
      </c>
      <c r="F47" s="36">
        <v>11940</v>
      </c>
      <c r="G47" s="36">
        <v>9390.4</v>
      </c>
      <c r="H47" s="36">
        <v>10004.716</v>
      </c>
      <c r="I47" s="36">
        <v>10005.13667</v>
      </c>
      <c r="J47" s="36">
        <f>13.339+10000</f>
        <v>10013.339</v>
      </c>
      <c r="K47" s="36">
        <v>10000</v>
      </c>
      <c r="L47" s="36">
        <v>14402.503860000001</v>
      </c>
      <c r="M47" s="36">
        <v>11003.47</v>
      </c>
      <c r="N47" s="36">
        <v>11006.165080000001</v>
      </c>
      <c r="O47" s="369">
        <f>'+пр к ПП4'!J26</f>
        <v>17554.18</v>
      </c>
      <c r="P47" s="199">
        <f>'+пр к ПП4'!K15+'+пр к ПП4'!K21+'+пр к ПП4'!K22</f>
        <v>12011.731319999999</v>
      </c>
      <c r="Q47" s="199">
        <f>'+пр к ПП4'!L15+'+пр к ПП4'!L18</f>
        <v>15600</v>
      </c>
      <c r="R47" s="199">
        <f>'+пр к ПП4'!M15+'+пр к ПП4'!M18</f>
        <v>15600</v>
      </c>
      <c r="S47" s="199">
        <f t="shared" si="48"/>
        <v>45165.911319999999</v>
      </c>
      <c r="T47" s="114"/>
      <c r="U47" s="385">
        <f t="shared" si="34"/>
        <v>166055.50904999999</v>
      </c>
    </row>
    <row r="48" spans="1:22" s="177" customFormat="1" ht="32.25">
      <c r="A48" s="530"/>
      <c r="B48" s="536"/>
      <c r="C48" s="536"/>
      <c r="D48" s="6" t="s">
        <v>97</v>
      </c>
      <c r="E48" s="37"/>
      <c r="F48" s="37"/>
      <c r="G48" s="37"/>
      <c r="H48" s="37"/>
      <c r="I48" s="36"/>
      <c r="J48" s="36"/>
      <c r="K48" s="36"/>
      <c r="L48" s="36"/>
      <c r="M48" s="36"/>
      <c r="N48" s="36"/>
      <c r="O48" s="369"/>
      <c r="P48" s="199"/>
      <c r="Q48" s="199"/>
      <c r="R48" s="199"/>
      <c r="S48" s="199">
        <f t="shared" si="48"/>
        <v>0</v>
      </c>
      <c r="T48" s="114"/>
      <c r="U48" s="385">
        <f t="shared" si="34"/>
        <v>0</v>
      </c>
    </row>
    <row r="49" spans="1:21" s="179" customFormat="1" ht="19.5" thickBot="1">
      <c r="A49" s="530"/>
      <c r="B49" s="536"/>
      <c r="C49" s="536"/>
      <c r="D49" s="127" t="s">
        <v>21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9"/>
      <c r="P49" s="199"/>
      <c r="Q49" s="199"/>
      <c r="R49" s="199"/>
      <c r="S49" s="199">
        <f t="shared" si="48"/>
        <v>0</v>
      </c>
      <c r="T49" s="178"/>
      <c r="U49" s="385">
        <f t="shared" si="34"/>
        <v>0</v>
      </c>
    </row>
    <row r="50" spans="1:21">
      <c r="A50" s="7"/>
      <c r="B50" s="4"/>
      <c r="C50" s="4"/>
      <c r="D50" s="4"/>
      <c r="E50" s="13"/>
      <c r="F50" s="13"/>
      <c r="G50" s="13"/>
      <c r="H50" s="13"/>
      <c r="I50" s="13"/>
      <c r="J50" s="13"/>
      <c r="L50" s="13"/>
      <c r="M50" s="13"/>
      <c r="N50" s="13"/>
    </row>
    <row r="51" spans="1:21">
      <c r="A51" s="7"/>
      <c r="B51" s="4"/>
      <c r="C51" s="4"/>
      <c r="D51" s="4"/>
      <c r="E51" s="13"/>
      <c r="F51" s="13"/>
      <c r="G51" s="13"/>
      <c r="H51" s="13"/>
      <c r="I51" s="13"/>
      <c r="J51" s="13"/>
      <c r="L51" s="13"/>
      <c r="M51" s="13"/>
      <c r="N51" s="13"/>
    </row>
    <row r="52" spans="1:21">
      <c r="A52" s="7"/>
      <c r="B52" s="4"/>
      <c r="C52" s="4"/>
      <c r="D52" s="4"/>
      <c r="E52" s="13"/>
      <c r="F52" s="13"/>
      <c r="G52" s="13"/>
      <c r="H52" s="13"/>
      <c r="I52" s="13"/>
      <c r="J52" s="13"/>
      <c r="L52" s="13"/>
      <c r="M52" s="13"/>
      <c r="N52" s="13"/>
    </row>
    <row r="53" spans="1:21">
      <c r="A53" s="7"/>
      <c r="B53" s="4"/>
      <c r="C53" s="4"/>
      <c r="D53" s="4"/>
      <c r="E53" s="13"/>
      <c r="F53" s="13"/>
      <c r="G53" s="13"/>
      <c r="H53" s="13"/>
      <c r="I53" s="13"/>
      <c r="J53" s="13"/>
      <c r="L53" s="13"/>
      <c r="M53" s="13"/>
      <c r="N53" s="13"/>
    </row>
    <row r="54" spans="1:21">
      <c r="A54" s="7"/>
      <c r="B54" s="4"/>
      <c r="C54" s="4"/>
      <c r="D54" s="4"/>
      <c r="E54" s="13"/>
      <c r="F54" s="13"/>
      <c r="G54" s="13"/>
      <c r="H54" s="13"/>
      <c r="I54" s="13"/>
      <c r="J54" s="13"/>
      <c r="L54" s="13"/>
      <c r="M54" s="13"/>
      <c r="N54" s="13"/>
    </row>
    <row r="55" spans="1:21">
      <c r="A55" s="7"/>
      <c r="B55" s="4"/>
      <c r="C55" s="4"/>
      <c r="D55" s="4"/>
      <c r="E55" s="13"/>
      <c r="F55" s="13"/>
      <c r="G55" s="13"/>
      <c r="H55" s="13"/>
      <c r="I55" s="13"/>
      <c r="J55" s="13"/>
      <c r="L55" s="13"/>
      <c r="M55" s="13"/>
      <c r="N55" s="13"/>
    </row>
    <row r="56" spans="1:21">
      <c r="A56" s="7"/>
      <c r="B56" s="4"/>
      <c r="C56" s="4"/>
      <c r="D56" s="4"/>
      <c r="E56" s="13"/>
      <c r="F56" s="13"/>
      <c r="G56" s="13"/>
      <c r="H56" s="13"/>
      <c r="I56" s="13"/>
      <c r="J56" s="13"/>
      <c r="L56" s="13"/>
      <c r="M56" s="13"/>
      <c r="N56" s="13"/>
    </row>
    <row r="57" spans="1:21" s="136" customFormat="1" ht="15.75" outlineLevel="1">
      <c r="A57" s="2"/>
      <c r="B57" s="1" t="s">
        <v>212</v>
      </c>
      <c r="C57" s="1"/>
      <c r="D57" s="1"/>
      <c r="E57" s="2"/>
      <c r="F57" s="1"/>
      <c r="G57" s="1"/>
      <c r="H57" s="1"/>
      <c r="I57" s="12"/>
      <c r="J57" s="12"/>
      <c r="K57" s="12"/>
      <c r="L57" s="12"/>
      <c r="M57" s="12"/>
      <c r="N57" s="12"/>
      <c r="O57" s="1"/>
      <c r="P57" s="1"/>
      <c r="Q57" s="1"/>
      <c r="R57" s="1"/>
      <c r="S57" s="1"/>
    </row>
    <row r="58" spans="1:21" s="136" customFormat="1" ht="15.75" outlineLevel="1">
      <c r="A58" s="2"/>
      <c r="B58" s="1" t="s">
        <v>213</v>
      </c>
      <c r="C58" s="1"/>
      <c r="D58" s="1"/>
      <c r="E58" s="2"/>
      <c r="F58" s="1"/>
      <c r="G58" s="1"/>
      <c r="H58" s="1"/>
      <c r="I58" s="12"/>
      <c r="J58" s="12"/>
      <c r="K58" s="12"/>
      <c r="L58" s="12"/>
      <c r="M58" s="12"/>
      <c r="N58" s="12"/>
      <c r="O58" s="1" t="b">
        <f>O22='пр к ПП1'!J35</f>
        <v>1</v>
      </c>
      <c r="P58" s="390" t="b">
        <f>P22='пр к ПП1'!K35</f>
        <v>1</v>
      </c>
      <c r="Q58" s="1" t="b">
        <f>Q22='пр к ПП1'!M35</f>
        <v>1</v>
      </c>
      <c r="R58" s="1"/>
      <c r="S58" s="1" t="b">
        <f>S22='пр к ПП1'!N35</f>
        <v>1</v>
      </c>
      <c r="T58" s="136" t="b">
        <f>T31='пр к ПП1'!N47</f>
        <v>1</v>
      </c>
    </row>
    <row r="59" spans="1:21" s="136" customFormat="1" ht="15.75" outlineLevel="1">
      <c r="A59" s="2"/>
      <c r="B59" s="1" t="s">
        <v>214</v>
      </c>
      <c r="C59" s="1"/>
      <c r="D59" s="1"/>
      <c r="E59" s="2"/>
      <c r="F59" s="1"/>
      <c r="G59" s="1"/>
      <c r="H59" s="1"/>
      <c r="I59" s="12"/>
      <c r="J59" s="12"/>
      <c r="K59" s="12"/>
      <c r="L59" s="12"/>
      <c r="M59" s="12"/>
      <c r="N59" s="12"/>
      <c r="O59" s="1" t="b">
        <f>O29='+ пр к ПП2'!J50</f>
        <v>1</v>
      </c>
      <c r="P59" s="1" t="b">
        <f>P29='+ пр к ПП2'!K50</f>
        <v>1</v>
      </c>
      <c r="Q59" s="1" t="b">
        <f>Q29='+ пр к ПП2'!L50</f>
        <v>1</v>
      </c>
      <c r="R59" s="1"/>
      <c r="S59" s="1" t="b">
        <f>S29='+ пр к ПП2'!N50</f>
        <v>1</v>
      </c>
      <c r="T59" s="136" t="e">
        <f>T35='+ пр к ПП2'!#REF!</f>
        <v>#REF!</v>
      </c>
    </row>
    <row r="60" spans="1:21" s="136" customFormat="1" ht="15.75" outlineLevel="1">
      <c r="A60" s="2"/>
      <c r="B60" s="1" t="s">
        <v>215</v>
      </c>
      <c r="C60" s="1"/>
      <c r="D60" s="1"/>
      <c r="E60" s="2"/>
      <c r="F60" s="1"/>
      <c r="G60" s="1"/>
      <c r="H60" s="1"/>
      <c r="I60" s="12"/>
      <c r="J60" s="12"/>
      <c r="K60" s="12"/>
      <c r="L60" s="12"/>
      <c r="M60" s="12"/>
      <c r="N60" s="12"/>
      <c r="O60" s="1" t="b">
        <f>O36='+пр к ПП3'!J26</f>
        <v>1</v>
      </c>
      <c r="P60" s="1" t="b">
        <f>P36='+пр к ПП3'!K26</f>
        <v>1</v>
      </c>
      <c r="Q60" s="1" t="b">
        <f>Q36='+пр к ПП3'!L26</f>
        <v>1</v>
      </c>
      <c r="R60" s="1"/>
      <c r="S60" s="1" t="b">
        <f>S36='+пр к ПП3'!N26</f>
        <v>1</v>
      </c>
      <c r="T60" s="136" t="b">
        <f>T39='+пр к ПП3'!N29</f>
        <v>1</v>
      </c>
    </row>
    <row r="61" spans="1:21" s="136" customFormat="1" ht="15.75" outlineLevel="1">
      <c r="A61" s="2"/>
      <c r="B61" s="1" t="s">
        <v>216</v>
      </c>
      <c r="C61" s="1"/>
      <c r="D61" s="1"/>
      <c r="E61" s="2"/>
      <c r="F61" s="1"/>
      <c r="G61" s="1"/>
      <c r="H61" s="1"/>
      <c r="I61" s="12"/>
      <c r="J61" s="12"/>
      <c r="K61" s="12"/>
      <c r="L61" s="12"/>
      <c r="M61" s="12"/>
      <c r="N61" s="12"/>
      <c r="O61" s="1" t="b">
        <f>O43='+пр к ПП4'!J26</f>
        <v>1</v>
      </c>
      <c r="P61" s="1" t="b">
        <f>P43='+пр к ПП4'!K26</f>
        <v>0</v>
      </c>
      <c r="Q61" s="1" t="b">
        <f>Q43='+пр к ПП4'!L26</f>
        <v>1</v>
      </c>
      <c r="R61" s="1"/>
      <c r="S61" s="1" t="b">
        <f>S43='+пр к ПП4'!N26</f>
        <v>0</v>
      </c>
      <c r="T61" s="136" t="b">
        <f>T43='+пр к ПП4'!O26</f>
        <v>0</v>
      </c>
    </row>
    <row r="62" spans="1:21" s="136" customFormat="1" ht="15.75" outlineLevel="1">
      <c r="A62" s="2"/>
      <c r="B62" s="1"/>
      <c r="C62" s="1"/>
      <c r="D62" s="1"/>
      <c r="E62" s="2"/>
      <c r="F62" s="1"/>
      <c r="G62" s="1"/>
      <c r="H62" s="1"/>
      <c r="I62" s="12"/>
      <c r="J62" s="12"/>
      <c r="K62" s="12"/>
      <c r="L62" s="12"/>
      <c r="M62" s="12"/>
      <c r="N62" s="12"/>
      <c r="O62" s="1"/>
      <c r="P62" s="1"/>
      <c r="Q62" s="1"/>
      <c r="R62" s="1"/>
      <c r="S62" s="1"/>
    </row>
    <row r="63" spans="1:21" s="136" customFormat="1" ht="15.75" outlineLevel="1">
      <c r="A63" s="2"/>
      <c r="B63" s="1"/>
      <c r="C63" s="1"/>
      <c r="D63" s="1"/>
      <c r="E63" s="2"/>
      <c r="F63" s="1"/>
      <c r="G63" s="1"/>
      <c r="H63" s="1"/>
      <c r="I63" s="12"/>
      <c r="J63" s="12"/>
      <c r="K63" s="12"/>
      <c r="L63" s="12"/>
      <c r="M63" s="12"/>
      <c r="N63" s="12"/>
      <c r="O63" s="1"/>
      <c r="P63" s="1"/>
      <c r="Q63" s="1"/>
      <c r="R63" s="1"/>
      <c r="S63" s="1"/>
    </row>
    <row r="64" spans="1:21" s="136" customFormat="1" ht="15.75" outlineLevel="1">
      <c r="A64" s="2"/>
      <c r="B64" s="1" t="s">
        <v>213</v>
      </c>
      <c r="C64" s="1"/>
      <c r="D64" s="1"/>
      <c r="E64" s="2"/>
      <c r="F64" s="1"/>
      <c r="G64" s="1"/>
      <c r="H64" s="1"/>
      <c r="I64" s="93">
        <f>I22-'пр к ПП1'!J35</f>
        <v>-60300.785839999982</v>
      </c>
      <c r="J64" s="93"/>
      <c r="K64" s="93"/>
      <c r="L64" s="93"/>
      <c r="M64" s="93"/>
      <c r="N64" s="93"/>
      <c r="O64" s="200">
        <f>O22-'пр к ПП1'!J35</f>
        <v>0</v>
      </c>
      <c r="P64" s="200">
        <f>P22-'пр к ПП1'!K35</f>
        <v>0</v>
      </c>
      <c r="Q64" s="200">
        <f>Q22-'пр к ПП1'!M35</f>
        <v>0</v>
      </c>
      <c r="R64" s="200"/>
      <c r="S64" s="200">
        <f>S22-'пр к ПП1'!N35</f>
        <v>0</v>
      </c>
      <c r="T64" s="169">
        <f>T31-'пр к ПП1'!N47</f>
        <v>0</v>
      </c>
    </row>
    <row r="65" spans="1:20" s="136" customFormat="1" ht="15.75" outlineLevel="1">
      <c r="A65" s="2"/>
      <c r="B65" s="1" t="s">
        <v>214</v>
      </c>
      <c r="C65" s="1"/>
      <c r="D65" s="1"/>
      <c r="E65" s="2"/>
      <c r="F65" s="1"/>
      <c r="G65" s="1"/>
      <c r="H65" s="1"/>
      <c r="I65" s="93">
        <f>I29-'+ пр к ПП2'!J50</f>
        <v>-204320.66528999998</v>
      </c>
      <c r="J65" s="93"/>
      <c r="K65" s="93"/>
      <c r="L65" s="93"/>
      <c r="M65" s="93"/>
      <c r="N65" s="93"/>
      <c r="O65" s="200">
        <f>O29-'+ пр к ПП2'!J50</f>
        <v>0</v>
      </c>
      <c r="P65" s="200">
        <f>P29-'+ пр к ПП2'!K50</f>
        <v>0</v>
      </c>
      <c r="Q65" s="200">
        <f>Q29-'+ пр к ПП2'!L50</f>
        <v>0</v>
      </c>
      <c r="R65" s="200"/>
      <c r="S65" s="200">
        <f>S29-'+ пр к ПП2'!N50</f>
        <v>0</v>
      </c>
      <c r="T65" s="169" t="e">
        <f>T35-'+ пр к ПП2'!#REF!</f>
        <v>#REF!</v>
      </c>
    </row>
    <row r="66" spans="1:20" s="136" customFormat="1" ht="15.75" outlineLevel="1">
      <c r="A66" s="2"/>
      <c r="B66" s="1" t="s">
        <v>215</v>
      </c>
      <c r="C66" s="1"/>
      <c r="D66" s="1"/>
      <c r="E66" s="2"/>
      <c r="F66" s="1"/>
      <c r="G66" s="1"/>
      <c r="H66" s="1"/>
      <c r="I66" s="93">
        <f>I36-'+пр к ПП3'!J26</f>
        <v>80</v>
      </c>
      <c r="J66" s="93"/>
      <c r="K66" s="93"/>
      <c r="L66" s="93"/>
      <c r="M66" s="93"/>
      <c r="N66" s="93"/>
      <c r="O66" s="200">
        <f>O36-'+пр к ПП3'!J26</f>
        <v>0</v>
      </c>
      <c r="P66" s="200">
        <f>P36-'+пр к ПП3'!K26</f>
        <v>0</v>
      </c>
      <c r="Q66" s="200">
        <f>Q36-'+пр к ПП3'!L26</f>
        <v>0</v>
      </c>
      <c r="R66" s="200"/>
      <c r="S66" s="200">
        <f>S36-'+пр к ПП3'!N26</f>
        <v>0</v>
      </c>
      <c r="T66" s="169">
        <f>T39-'+пр к ПП3'!N29</f>
        <v>0</v>
      </c>
    </row>
    <row r="67" spans="1:20" s="136" customFormat="1" ht="15.75" outlineLevel="1">
      <c r="A67" s="2"/>
      <c r="B67" s="1" t="s">
        <v>216</v>
      </c>
      <c r="C67" s="1"/>
      <c r="D67" s="1"/>
      <c r="E67" s="2"/>
      <c r="F67" s="1"/>
      <c r="G67" s="1"/>
      <c r="H67" s="1"/>
      <c r="I67" s="93">
        <f>I43-'+пр к ПП4'!J26</f>
        <v>-4486.8433299999997</v>
      </c>
      <c r="J67" s="93"/>
      <c r="K67" s="93"/>
      <c r="L67" s="93"/>
      <c r="M67" s="93"/>
      <c r="N67" s="93"/>
      <c r="O67" s="200">
        <f>O43-'+пр к ПП4'!J26</f>
        <v>0</v>
      </c>
      <c r="P67" s="200">
        <f>P43-'+пр к ПП4'!K26</f>
        <v>351</v>
      </c>
      <c r="Q67" s="200">
        <f>Q43-'+пр к ПП4'!L26</f>
        <v>0</v>
      </c>
      <c r="R67" s="200"/>
      <c r="S67" s="200">
        <f>S43-'+пр к ПП4'!N26</f>
        <v>2305.179999999993</v>
      </c>
      <c r="T67" s="169">
        <f>T43-'+пр к ПП4'!N34</f>
        <v>1954.179999999993</v>
      </c>
    </row>
    <row r="68" spans="1:20" outlineLevel="1">
      <c r="A68" s="7"/>
      <c r="B68" s="4"/>
      <c r="C68" s="4"/>
      <c r="D68" s="4"/>
      <c r="E68" s="13"/>
      <c r="F68" s="13"/>
      <c r="G68" s="13"/>
      <c r="H68" s="13"/>
      <c r="I68" s="13"/>
      <c r="J68" s="13"/>
      <c r="L68" s="13"/>
      <c r="M68" s="13"/>
      <c r="N68" s="13"/>
    </row>
    <row r="69" spans="1:20" outlineLevel="1">
      <c r="A69" s="7"/>
      <c r="B69" s="4"/>
      <c r="C69" s="4"/>
      <c r="D69" s="4"/>
      <c r="E69" s="13"/>
      <c r="F69" s="13"/>
      <c r="G69" s="13"/>
      <c r="H69" s="13"/>
      <c r="I69" s="13"/>
      <c r="J69" s="13"/>
      <c r="L69" s="13"/>
      <c r="M69" s="13"/>
      <c r="N69" s="13"/>
    </row>
    <row r="70" spans="1:20">
      <c r="A70" s="7"/>
      <c r="B70" s="4"/>
      <c r="C70" s="4"/>
      <c r="D70" s="4"/>
      <c r="E70" s="13"/>
      <c r="F70" s="13"/>
      <c r="G70" s="13"/>
      <c r="H70" s="13"/>
      <c r="I70" s="13"/>
      <c r="J70" s="13"/>
      <c r="L70" s="13"/>
      <c r="M70" s="13"/>
      <c r="N70" s="13"/>
    </row>
    <row r="71" spans="1:20">
      <c r="A71" s="7"/>
      <c r="B71" s="4"/>
      <c r="C71" s="4"/>
      <c r="D71" s="4"/>
      <c r="E71" s="13"/>
      <c r="F71" s="13"/>
      <c r="G71" s="13"/>
      <c r="H71" s="13"/>
      <c r="I71" s="13"/>
      <c r="J71" s="13"/>
      <c r="L71" s="13"/>
      <c r="M71" s="13"/>
      <c r="N71" s="13"/>
    </row>
    <row r="72" spans="1:20">
      <c r="A72" s="7"/>
      <c r="B72" s="4"/>
      <c r="C72" s="4"/>
      <c r="D72" s="4"/>
      <c r="E72" s="13"/>
      <c r="F72" s="13"/>
      <c r="G72" s="13"/>
      <c r="H72" s="13"/>
      <c r="I72" s="13"/>
      <c r="J72" s="13"/>
      <c r="L72" s="13"/>
      <c r="M72" s="13"/>
      <c r="N72" s="13"/>
    </row>
  </sheetData>
  <mergeCells count="26">
    <mergeCell ref="O1:S1"/>
    <mergeCell ref="A12:A13"/>
    <mergeCell ref="B12:B13"/>
    <mergeCell ref="C12:C13"/>
    <mergeCell ref="D12:D13"/>
    <mergeCell ref="O4:S4"/>
    <mergeCell ref="A7:S7"/>
    <mergeCell ref="A8:S8"/>
    <mergeCell ref="A9:S9"/>
    <mergeCell ref="A10:V10"/>
    <mergeCell ref="A36:A42"/>
    <mergeCell ref="B36:B42"/>
    <mergeCell ref="C36:C42"/>
    <mergeCell ref="A43:A49"/>
    <mergeCell ref="S12:S13"/>
    <mergeCell ref="A15:A21"/>
    <mergeCell ref="B15:B21"/>
    <mergeCell ref="C15:C21"/>
    <mergeCell ref="A29:A35"/>
    <mergeCell ref="B29:B35"/>
    <mergeCell ref="C29:C35"/>
    <mergeCell ref="B43:B49"/>
    <mergeCell ref="C43:C49"/>
    <mergeCell ref="A22:A28"/>
    <mergeCell ref="B22:B28"/>
    <mergeCell ref="C22:C28"/>
  </mergeCells>
  <pageMargins left="0.78740157480314965" right="0.59055118110236227" top="1.1811023622047245" bottom="0.19685039370078741" header="0.11811023622047245" footer="0"/>
  <pageSetup paperSize="9" scale="80" firstPageNumber="20" fitToHeight="0" orientation="landscape" useFirstPageNumber="1" r:id="rId1"/>
  <headerFooter>
    <oddHeader>&amp;C&amp;P</oddHeader>
  </headerFooter>
  <rowBreaks count="1" manualBreakCount="1">
    <brk id="28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4:E20"/>
  <sheetViews>
    <sheetView workbookViewId="0">
      <selection activeCell="Q14" sqref="Q14:Q15"/>
    </sheetView>
  </sheetViews>
  <sheetFormatPr defaultRowHeight="15.75"/>
  <cols>
    <col min="2" max="5" width="22.75" style="99" customWidth="1"/>
  </cols>
  <sheetData>
    <row r="4" spans="1:5">
      <c r="A4">
        <v>2014</v>
      </c>
      <c r="B4" s="99">
        <v>38564.858</v>
      </c>
    </row>
    <row r="5" spans="1:5">
      <c r="A5">
        <v>2015</v>
      </c>
      <c r="B5" s="99">
        <v>38642.910000000003</v>
      </c>
    </row>
    <row r="6" spans="1:5">
      <c r="A6">
        <v>2016</v>
      </c>
      <c r="B6" s="99">
        <v>64679.243999999999</v>
      </c>
    </row>
    <row r="7" spans="1:5">
      <c r="A7">
        <v>2017</v>
      </c>
      <c r="B7" s="99">
        <v>51991.447999999997</v>
      </c>
    </row>
    <row r="8" spans="1:5">
      <c r="A8">
        <v>2018</v>
      </c>
      <c r="B8" s="99">
        <v>46554.788</v>
      </c>
    </row>
    <row r="9" spans="1:5">
      <c r="A9">
        <v>2019</v>
      </c>
      <c r="B9" s="99">
        <v>59160.667999999998</v>
      </c>
    </row>
    <row r="10" spans="1:5">
      <c r="A10">
        <v>2020</v>
      </c>
      <c r="B10" s="99">
        <v>61245.158000000003</v>
      </c>
    </row>
    <row r="11" spans="1:5">
      <c r="A11">
        <v>2021</v>
      </c>
      <c r="B11" s="99">
        <v>84378.762000000002</v>
      </c>
    </row>
    <row r="12" spans="1:5">
      <c r="A12">
        <v>2022</v>
      </c>
      <c r="B12" s="99">
        <v>92939.361000000004</v>
      </c>
    </row>
    <row r="13" spans="1:5">
      <c r="A13">
        <v>2023</v>
      </c>
      <c r="B13" s="99">
        <v>95419.376000000004</v>
      </c>
    </row>
    <row r="14" spans="1:5" s="399" customFormat="1">
      <c r="A14" s="399">
        <v>2024</v>
      </c>
      <c r="B14" s="400">
        <v>106855.57399999999</v>
      </c>
      <c r="C14" s="400"/>
      <c r="D14" s="400"/>
      <c r="E14" s="400"/>
    </row>
    <row r="15" spans="1:5" s="399" customFormat="1">
      <c r="A15" s="399">
        <v>2025</v>
      </c>
      <c r="B15" s="400">
        <v>107123.833</v>
      </c>
      <c r="C15" s="400"/>
      <c r="D15" s="400"/>
      <c r="E15" s="400"/>
    </row>
    <row r="16" spans="1:5" s="399" customFormat="1">
      <c r="A16" s="399">
        <v>2026</v>
      </c>
      <c r="B16" s="400">
        <v>103104.58500000001</v>
      </c>
      <c r="C16" s="400"/>
      <c r="D16" s="400"/>
      <c r="E16" s="400"/>
    </row>
    <row r="17" spans="1:5" s="399" customFormat="1">
      <c r="A17" s="399">
        <v>2027</v>
      </c>
      <c r="B17" s="400">
        <v>103104.58500000001</v>
      </c>
      <c r="C17" s="400"/>
      <c r="D17" s="400"/>
      <c r="E17" s="400"/>
    </row>
    <row r="20" spans="1:5">
      <c r="B20" s="401">
        <f>SUM(B4:B19)</f>
        <v>1053765.1500000001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7" sqref="L7"/>
    </sheetView>
  </sheetViews>
  <sheetFormatPr defaultRowHeight="15.7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/>
  <cols>
    <col min="2" max="2" width="5" style="24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>
      <c r="A1" s="542"/>
      <c r="B1" s="537" t="s">
        <v>19</v>
      </c>
      <c r="C1" s="537" t="s">
        <v>165</v>
      </c>
      <c r="D1" s="537" t="s">
        <v>166</v>
      </c>
      <c r="E1" s="537" t="s">
        <v>167</v>
      </c>
      <c r="F1" s="537" t="s">
        <v>168</v>
      </c>
      <c r="G1" s="537"/>
      <c r="H1" s="537"/>
      <c r="I1" s="537"/>
      <c r="J1" s="537"/>
      <c r="K1" s="538"/>
      <c r="M1" s="537" t="s">
        <v>168</v>
      </c>
      <c r="N1" s="537"/>
      <c r="O1" s="537"/>
      <c r="P1" s="537"/>
    </row>
    <row r="2" spans="1:16">
      <c r="A2" s="542"/>
      <c r="B2" s="537"/>
      <c r="C2" s="537"/>
      <c r="D2" s="537"/>
      <c r="E2" s="537"/>
      <c r="F2" s="537" t="s">
        <v>169</v>
      </c>
      <c r="G2" s="537"/>
      <c r="H2" s="537"/>
      <c r="I2" s="537"/>
      <c r="J2" s="537" t="s">
        <v>170</v>
      </c>
      <c r="K2" s="538"/>
      <c r="M2" s="537" t="s">
        <v>169</v>
      </c>
      <c r="N2" s="537"/>
      <c r="O2" s="537"/>
      <c r="P2" s="537"/>
    </row>
    <row r="3" spans="1:16">
      <c r="A3" s="542"/>
      <c r="B3" s="537"/>
      <c r="C3" s="537"/>
      <c r="D3" s="537"/>
      <c r="E3" s="537"/>
      <c r="F3" s="537" t="s">
        <v>171</v>
      </c>
      <c r="G3" s="537"/>
      <c r="H3" s="537"/>
      <c r="I3" s="537" t="s">
        <v>172</v>
      </c>
      <c r="J3" s="537"/>
      <c r="K3" s="538"/>
      <c r="M3" s="537" t="s">
        <v>171</v>
      </c>
      <c r="N3" s="537"/>
      <c r="O3" s="537"/>
      <c r="P3" s="537" t="s">
        <v>172</v>
      </c>
    </row>
    <row r="4" spans="1:16">
      <c r="A4" s="542"/>
      <c r="B4" s="537"/>
      <c r="C4" s="537"/>
      <c r="D4" s="537"/>
      <c r="E4" s="537"/>
      <c r="F4" s="97" t="str">
        <f>LEFT('+ Приложение 6'!I12,4)</f>
        <v>2024</v>
      </c>
      <c r="G4" s="97" t="str">
        <f>LEFT('+ Приложение 6'!J12,4)</f>
        <v>2025</v>
      </c>
      <c r="H4" s="97" t="str">
        <f>LEFT('+ Приложение 6'!K12,4)</f>
        <v>2026</v>
      </c>
      <c r="I4" s="537"/>
      <c r="J4" s="537"/>
      <c r="K4" s="538"/>
      <c r="M4" s="100" t="str">
        <f>F4</f>
        <v>2024</v>
      </c>
      <c r="N4" s="100" t="str">
        <f t="shared" ref="N4:O4" si="0">G4</f>
        <v>2025</v>
      </c>
      <c r="O4" s="100" t="str">
        <f t="shared" si="0"/>
        <v>2026</v>
      </c>
      <c r="P4" s="537"/>
    </row>
    <row r="5" spans="1:16" ht="15.75" customHeight="1">
      <c r="A5" s="542"/>
      <c r="B5" s="543">
        <v>1</v>
      </c>
      <c r="C5" s="544" t="str">
        <f>'пр к ПП1'!B15</f>
        <v>Расходы на содержание автомобильных дорог общего пользования местного значения (дорожный фонд)</v>
      </c>
      <c r="D5" s="22" t="s">
        <v>181</v>
      </c>
      <c r="E5" s="537" t="s">
        <v>174</v>
      </c>
      <c r="F5" s="25">
        <f>SUM(F6:F12)</f>
        <v>26.370200000000004</v>
      </c>
      <c r="G5" s="25">
        <f t="shared" ref="G5:H5" si="1">SUM(G6:G12)</f>
        <v>27.398600000000002</v>
      </c>
      <c r="H5" s="25">
        <f t="shared" si="1"/>
        <v>28.467099999999999</v>
      </c>
      <c r="I5" s="25">
        <f t="shared" ref="I5:I20" si="2">SUM(F5:H5)</f>
        <v>82.235900000000001</v>
      </c>
      <c r="J5" s="537" t="s">
        <v>182</v>
      </c>
      <c r="K5" s="538"/>
      <c r="M5" s="71">
        <f>SUM(M6:M12)</f>
        <v>26370.2</v>
      </c>
      <c r="N5" s="71">
        <f t="shared" ref="N5:O5" si="3">SUM(N6:N12)</f>
        <v>27398.6</v>
      </c>
      <c r="O5" s="71">
        <f t="shared" si="3"/>
        <v>28467.1</v>
      </c>
      <c r="P5" s="70">
        <f t="shared" ref="P5" si="4">SUM(M5:O5)</f>
        <v>82235.899999999994</v>
      </c>
    </row>
    <row r="6" spans="1:16" ht="25.5">
      <c r="A6" s="542"/>
      <c r="B6" s="543"/>
      <c r="C6" s="544"/>
      <c r="D6" s="16" t="s">
        <v>179</v>
      </c>
      <c r="E6" s="537"/>
      <c r="F6" s="34">
        <f>M6/1000</f>
        <v>3.9563999999999999</v>
      </c>
      <c r="G6" s="34">
        <f t="shared" ref="G6:H12" si="5">N6/1000</f>
        <v>4.1100000000000003</v>
      </c>
      <c r="H6" s="34">
        <f t="shared" si="5"/>
        <v>4.2709999999999999</v>
      </c>
      <c r="I6" s="25">
        <f t="shared" si="2"/>
        <v>12.337399999999999</v>
      </c>
      <c r="J6" s="537"/>
      <c r="K6" s="538"/>
      <c r="M6" s="60">
        <f>F35</f>
        <v>3956.4</v>
      </c>
      <c r="N6" s="60">
        <f t="shared" ref="N6:O12" si="6">G35</f>
        <v>4110</v>
      </c>
      <c r="O6" s="60">
        <f t="shared" si="6"/>
        <v>4271</v>
      </c>
      <c r="P6" s="70"/>
    </row>
    <row r="7" spans="1:16" ht="25.5">
      <c r="A7" s="542"/>
      <c r="B7" s="543"/>
      <c r="C7" s="544"/>
      <c r="D7" s="16" t="s">
        <v>188</v>
      </c>
      <c r="E7" s="537"/>
      <c r="F7" s="34">
        <f t="shared" ref="F7:F12" si="7">M7/1000</f>
        <v>0.87920000000000009</v>
      </c>
      <c r="G7" s="34">
        <f t="shared" si="5"/>
        <v>0.91400000000000003</v>
      </c>
      <c r="H7" s="34">
        <f t="shared" si="5"/>
        <v>0.95</v>
      </c>
      <c r="I7" s="25">
        <f t="shared" si="2"/>
        <v>2.7431999999999999</v>
      </c>
      <c r="J7" s="537"/>
      <c r="K7" s="538"/>
      <c r="M7" s="60">
        <f t="shared" ref="M7:M12" si="8">F36</f>
        <v>879.2</v>
      </c>
      <c r="N7" s="60">
        <f t="shared" si="6"/>
        <v>914</v>
      </c>
      <c r="O7" s="60">
        <f t="shared" si="6"/>
        <v>950</v>
      </c>
      <c r="P7" s="70">
        <f t="shared" ref="P7:P20" si="9">SUM(M7:O7)</f>
        <v>2743.2</v>
      </c>
    </row>
    <row r="8" spans="1:16" ht="25.5">
      <c r="A8" s="542"/>
      <c r="B8" s="543"/>
      <c r="C8" s="544"/>
      <c r="D8" s="16" t="s">
        <v>180</v>
      </c>
      <c r="E8" s="537"/>
      <c r="F8" s="34">
        <f t="shared" si="7"/>
        <v>2.8134000000000001</v>
      </c>
      <c r="G8" s="34">
        <f t="shared" si="5"/>
        <v>2.9220000000000002</v>
      </c>
      <c r="H8" s="34">
        <f t="shared" si="5"/>
        <v>3.036</v>
      </c>
      <c r="I8" s="25">
        <f t="shared" si="2"/>
        <v>8.7713999999999999</v>
      </c>
      <c r="J8" s="537"/>
      <c r="K8" s="538"/>
      <c r="M8" s="60">
        <f t="shared" si="8"/>
        <v>2813.4</v>
      </c>
      <c r="N8" s="60">
        <f t="shared" si="6"/>
        <v>2922</v>
      </c>
      <c r="O8" s="60">
        <f t="shared" si="6"/>
        <v>3036</v>
      </c>
      <c r="P8" s="70">
        <f t="shared" si="9"/>
        <v>8771.4</v>
      </c>
    </row>
    <row r="9" spans="1:16" ht="25.5">
      <c r="A9" s="542"/>
      <c r="B9" s="543"/>
      <c r="C9" s="544"/>
      <c r="D9" s="16" t="s">
        <v>189</v>
      </c>
      <c r="E9" s="537"/>
      <c r="F9" s="34">
        <f t="shared" si="7"/>
        <v>0.87920000000000009</v>
      </c>
      <c r="G9" s="34">
        <f t="shared" si="5"/>
        <v>0.91400000000000003</v>
      </c>
      <c r="H9" s="34">
        <f t="shared" si="5"/>
        <v>0.95</v>
      </c>
      <c r="I9" s="25">
        <f t="shared" si="2"/>
        <v>2.7431999999999999</v>
      </c>
      <c r="J9" s="537"/>
      <c r="K9" s="538"/>
      <c r="M9" s="60">
        <f t="shared" si="8"/>
        <v>879.2</v>
      </c>
      <c r="N9" s="60">
        <f t="shared" si="6"/>
        <v>914</v>
      </c>
      <c r="O9" s="60">
        <f t="shared" si="6"/>
        <v>950</v>
      </c>
      <c r="P9" s="70">
        <f t="shared" si="9"/>
        <v>2743.2</v>
      </c>
    </row>
    <row r="10" spans="1:16" ht="25.5" customHeight="1">
      <c r="A10" s="542"/>
      <c r="B10" s="543"/>
      <c r="C10" s="544"/>
      <c r="D10" s="76" t="s">
        <v>178</v>
      </c>
      <c r="E10" s="537"/>
      <c r="F10" s="34">
        <f t="shared" si="7"/>
        <v>8.0007999999999999</v>
      </c>
      <c r="G10" s="34">
        <f t="shared" si="5"/>
        <v>8.3125999999999998</v>
      </c>
      <c r="H10" s="34">
        <f t="shared" si="5"/>
        <v>8.6370000000000005</v>
      </c>
      <c r="I10" s="25">
        <f t="shared" si="2"/>
        <v>24.950400000000002</v>
      </c>
      <c r="J10" s="537"/>
      <c r="K10" s="538"/>
      <c r="M10" s="60">
        <f t="shared" si="8"/>
        <v>8000.8</v>
      </c>
      <c r="N10" s="60">
        <f t="shared" si="6"/>
        <v>8312.6</v>
      </c>
      <c r="O10" s="60">
        <f t="shared" si="6"/>
        <v>8637</v>
      </c>
      <c r="P10" s="70">
        <f t="shared" si="9"/>
        <v>24950.400000000001</v>
      </c>
    </row>
    <row r="11" spans="1:16" ht="25.5">
      <c r="A11" s="542"/>
      <c r="B11" s="543"/>
      <c r="C11" s="544"/>
      <c r="D11" s="16" t="s">
        <v>177</v>
      </c>
      <c r="E11" s="537"/>
      <c r="F11" s="34">
        <f t="shared" si="7"/>
        <v>1.1434000000000002</v>
      </c>
      <c r="G11" s="34">
        <f t="shared" si="5"/>
        <v>1.19</v>
      </c>
      <c r="H11" s="34">
        <f t="shared" si="5"/>
        <v>1.2350000000000001</v>
      </c>
      <c r="I11" s="25">
        <f t="shared" si="2"/>
        <v>3.5684000000000005</v>
      </c>
      <c r="J11" s="537"/>
      <c r="K11" s="538"/>
      <c r="M11" s="60">
        <f t="shared" si="8"/>
        <v>1143.4000000000001</v>
      </c>
      <c r="N11" s="60">
        <f t="shared" si="6"/>
        <v>1190</v>
      </c>
      <c r="O11" s="60">
        <f t="shared" si="6"/>
        <v>1235</v>
      </c>
      <c r="P11" s="70">
        <f t="shared" si="9"/>
        <v>3568.4</v>
      </c>
    </row>
    <row r="12" spans="1:16">
      <c r="A12" s="542"/>
      <c r="B12" s="543"/>
      <c r="C12" s="544"/>
      <c r="D12" s="16" t="s">
        <v>187</v>
      </c>
      <c r="E12" s="537"/>
      <c r="F12" s="34">
        <f t="shared" si="7"/>
        <v>8.6977999999999991</v>
      </c>
      <c r="G12" s="34">
        <f t="shared" si="5"/>
        <v>9.0359999999999996</v>
      </c>
      <c r="H12" s="34">
        <f t="shared" si="5"/>
        <v>9.3880999999999979</v>
      </c>
      <c r="I12" s="25">
        <f t="shared" si="2"/>
        <v>27.121899999999997</v>
      </c>
      <c r="J12" s="537"/>
      <c r="K12" s="538"/>
      <c r="M12" s="60">
        <f t="shared" si="8"/>
        <v>8697.7999999999993</v>
      </c>
      <c r="N12" s="60">
        <f t="shared" si="6"/>
        <v>9036</v>
      </c>
      <c r="O12" s="60">
        <f t="shared" si="6"/>
        <v>9388.0999999999985</v>
      </c>
      <c r="P12" s="70">
        <f t="shared" si="9"/>
        <v>27121.899999999998</v>
      </c>
    </row>
    <row r="13" spans="1:16" ht="15.75" customHeight="1">
      <c r="A13" s="542"/>
      <c r="B13" s="543">
        <v>2</v>
      </c>
      <c r="C13" s="544" t="str">
        <f>'пр к ПП1'!B17</f>
        <v>Расходы на капитальный ремонт и ремонт автомобильных дорог общего пользования местного значения (дорожный фонд)</v>
      </c>
      <c r="D13" s="22" t="s">
        <v>181</v>
      </c>
      <c r="E13" s="537" t="s">
        <v>174</v>
      </c>
      <c r="F13" s="34">
        <f>SUM(F14:F20)</f>
        <v>11.636100000000001</v>
      </c>
      <c r="G13" s="34">
        <f t="shared" ref="G13:H13" si="10">SUM(G14:G20)</f>
        <v>13.9947</v>
      </c>
      <c r="H13" s="34">
        <f t="shared" si="10"/>
        <v>13.9947</v>
      </c>
      <c r="I13" s="25">
        <f t="shared" si="2"/>
        <v>39.625500000000002</v>
      </c>
      <c r="J13" s="539" t="s">
        <v>182</v>
      </c>
      <c r="K13" s="538"/>
      <c r="M13" s="72">
        <f>SUM(M14:M20)</f>
        <v>11636.1</v>
      </c>
      <c r="N13" s="72">
        <f t="shared" ref="N13:O13" si="11">SUM(N14:N20)</f>
        <v>13994.7</v>
      </c>
      <c r="O13" s="72">
        <f t="shared" si="11"/>
        <v>13994.7</v>
      </c>
      <c r="P13" s="70">
        <f t="shared" si="9"/>
        <v>39625.5</v>
      </c>
    </row>
    <row r="14" spans="1:16" ht="25.5">
      <c r="A14" s="542"/>
      <c r="B14" s="543"/>
      <c r="C14" s="544"/>
      <c r="D14" s="16" t="s">
        <v>179</v>
      </c>
      <c r="E14" s="537"/>
      <c r="F14" s="34">
        <f t="shared" ref="F14:F20" si="12">M14/1000</f>
        <v>1.3959999999999999</v>
      </c>
      <c r="G14" s="34">
        <f t="shared" ref="G14:G20" si="13">N14/1000</f>
        <v>1.747684</v>
      </c>
      <c r="H14" s="34">
        <f t="shared" ref="H14:H20" si="14">O14/1000</f>
        <v>1.747684</v>
      </c>
      <c r="I14" s="25">
        <f t="shared" si="2"/>
        <v>4.8913679999999999</v>
      </c>
      <c r="J14" s="540"/>
      <c r="K14" s="538"/>
      <c r="M14" s="60">
        <f>F46</f>
        <v>1396</v>
      </c>
      <c r="N14" s="60">
        <f t="shared" ref="N14:O20" si="15">G46</f>
        <v>1747.684</v>
      </c>
      <c r="O14" s="60">
        <f t="shared" si="15"/>
        <v>1747.684</v>
      </c>
      <c r="P14" s="70">
        <f t="shared" si="9"/>
        <v>4891.3680000000004</v>
      </c>
    </row>
    <row r="15" spans="1:16" ht="25.5">
      <c r="A15" s="542"/>
      <c r="B15" s="543"/>
      <c r="C15" s="544"/>
      <c r="D15" s="16" t="s">
        <v>188</v>
      </c>
      <c r="E15" s="537"/>
      <c r="F15" s="34">
        <f t="shared" si="12"/>
        <v>0.69799999999999995</v>
      </c>
      <c r="G15" s="34">
        <f t="shared" si="13"/>
        <v>0.87384400000000007</v>
      </c>
      <c r="H15" s="34">
        <f t="shared" si="14"/>
        <v>0.87384400000000007</v>
      </c>
      <c r="I15" s="25">
        <f t="shared" si="2"/>
        <v>2.4456880000000001</v>
      </c>
      <c r="J15" s="540"/>
      <c r="K15" s="538"/>
      <c r="M15" s="60">
        <f t="shared" ref="M15:M20" si="16">F47</f>
        <v>698</v>
      </c>
      <c r="N15" s="60">
        <f t="shared" si="15"/>
        <v>873.84400000000005</v>
      </c>
      <c r="O15" s="60">
        <f t="shared" si="15"/>
        <v>873.84400000000005</v>
      </c>
      <c r="P15" s="70">
        <f t="shared" si="9"/>
        <v>2445.6880000000001</v>
      </c>
    </row>
    <row r="16" spans="1:16" ht="25.5">
      <c r="A16" s="542"/>
      <c r="B16" s="543"/>
      <c r="C16" s="544"/>
      <c r="D16" s="16" t="s">
        <v>180</v>
      </c>
      <c r="E16" s="537"/>
      <c r="F16" s="34">
        <f t="shared" si="12"/>
        <v>0.69799999999999995</v>
      </c>
      <c r="G16" s="34">
        <f t="shared" si="13"/>
        <v>0.87384400000000007</v>
      </c>
      <c r="H16" s="34">
        <f t="shared" si="14"/>
        <v>0.87384400000000007</v>
      </c>
      <c r="I16" s="25">
        <f t="shared" si="2"/>
        <v>2.4456880000000001</v>
      </c>
      <c r="J16" s="540"/>
      <c r="K16" s="538"/>
      <c r="M16" s="60">
        <f t="shared" si="16"/>
        <v>698</v>
      </c>
      <c r="N16" s="60">
        <f t="shared" si="15"/>
        <v>873.84400000000005</v>
      </c>
      <c r="O16" s="60">
        <f t="shared" si="15"/>
        <v>873.84400000000005</v>
      </c>
      <c r="P16" s="70">
        <f t="shared" si="9"/>
        <v>2445.6880000000001</v>
      </c>
    </row>
    <row r="17" spans="1:18" ht="25.5">
      <c r="A17" s="542"/>
      <c r="B17" s="543"/>
      <c r="C17" s="544"/>
      <c r="D17" s="16" t="s">
        <v>189</v>
      </c>
      <c r="E17" s="537"/>
      <c r="F17" s="34">
        <f t="shared" si="12"/>
        <v>0.69799999999999995</v>
      </c>
      <c r="G17" s="34">
        <f t="shared" si="13"/>
        <v>0.87384400000000007</v>
      </c>
      <c r="H17" s="34">
        <f t="shared" si="14"/>
        <v>0.87384400000000007</v>
      </c>
      <c r="I17" s="25">
        <f t="shared" si="2"/>
        <v>2.4456880000000001</v>
      </c>
      <c r="J17" s="540"/>
      <c r="K17" s="538"/>
      <c r="M17" s="60">
        <f t="shared" si="16"/>
        <v>698</v>
      </c>
      <c r="N17" s="60">
        <f t="shared" si="15"/>
        <v>873.84400000000005</v>
      </c>
      <c r="O17" s="60">
        <f t="shared" si="15"/>
        <v>873.84400000000005</v>
      </c>
      <c r="P17" s="70">
        <f t="shared" si="9"/>
        <v>2445.6880000000001</v>
      </c>
    </row>
    <row r="18" spans="1:18" ht="25.5" customHeight="1">
      <c r="A18" s="542"/>
      <c r="B18" s="543"/>
      <c r="C18" s="544"/>
      <c r="D18" s="101" t="s">
        <v>178</v>
      </c>
      <c r="E18" s="537"/>
      <c r="F18" s="34">
        <f t="shared" si="12"/>
        <v>5.1211000000000002</v>
      </c>
      <c r="G18" s="34">
        <f t="shared" si="13"/>
        <v>6.0293370000000008</v>
      </c>
      <c r="H18" s="34">
        <f t="shared" si="14"/>
        <v>6.0293370000000008</v>
      </c>
      <c r="I18" s="25">
        <f t="shared" si="2"/>
        <v>17.179774000000002</v>
      </c>
      <c r="J18" s="540"/>
      <c r="K18" s="538"/>
      <c r="M18" s="60">
        <f t="shared" si="16"/>
        <v>5121.1000000000004</v>
      </c>
      <c r="N18" s="60">
        <f t="shared" si="15"/>
        <v>6029.3370000000004</v>
      </c>
      <c r="O18" s="60">
        <f t="shared" si="15"/>
        <v>6029.3370000000004</v>
      </c>
      <c r="P18" s="70">
        <f t="shared" si="9"/>
        <v>17179.774000000001</v>
      </c>
    </row>
    <row r="19" spans="1:18" ht="25.5">
      <c r="A19" s="542"/>
      <c r="B19" s="543"/>
      <c r="C19" s="544"/>
      <c r="D19" s="16" t="s">
        <v>177</v>
      </c>
      <c r="E19" s="537"/>
      <c r="F19" s="34">
        <f t="shared" si="12"/>
        <v>0</v>
      </c>
      <c r="G19" s="34">
        <f t="shared" si="13"/>
        <v>0</v>
      </c>
      <c r="H19" s="34">
        <f t="shared" si="14"/>
        <v>0</v>
      </c>
      <c r="I19" s="25">
        <f t="shared" si="2"/>
        <v>0</v>
      </c>
      <c r="J19" s="540"/>
      <c r="K19" s="538"/>
      <c r="M19" s="60">
        <f t="shared" si="16"/>
        <v>0</v>
      </c>
      <c r="N19" s="60">
        <f t="shared" si="15"/>
        <v>0</v>
      </c>
      <c r="O19" s="60">
        <f t="shared" si="15"/>
        <v>0</v>
      </c>
      <c r="P19" s="70">
        <f t="shared" si="9"/>
        <v>0</v>
      </c>
    </row>
    <row r="20" spans="1:18" ht="25.5" customHeight="1">
      <c r="A20" s="542"/>
      <c r="B20" s="543"/>
      <c r="C20" s="544"/>
      <c r="D20" s="16" t="s">
        <v>187</v>
      </c>
      <c r="E20" s="537"/>
      <c r="F20" s="34">
        <f t="shared" si="12"/>
        <v>3.0249999999999999</v>
      </c>
      <c r="G20" s="34">
        <f t="shared" si="13"/>
        <v>3.5961469999999998</v>
      </c>
      <c r="H20" s="34">
        <f t="shared" si="14"/>
        <v>3.5961469999999998</v>
      </c>
      <c r="I20" s="25">
        <f t="shared" si="2"/>
        <v>10.217293999999999</v>
      </c>
      <c r="J20" s="541"/>
      <c r="K20" s="538"/>
      <c r="M20" s="60">
        <f t="shared" si="16"/>
        <v>3025</v>
      </c>
      <c r="N20" s="60">
        <f t="shared" si="15"/>
        <v>3596.1469999999999</v>
      </c>
      <c r="O20" s="60">
        <f t="shared" si="15"/>
        <v>3596.1469999999999</v>
      </c>
      <c r="P20" s="70">
        <f t="shared" si="9"/>
        <v>10217.294</v>
      </c>
    </row>
    <row r="21" spans="1:18" ht="93" customHeight="1">
      <c r="A21" s="542"/>
      <c r="B21" s="74">
        <v>3</v>
      </c>
      <c r="C21" s="42" t="str">
        <f>'пр к ПП1'!B19</f>
        <v>Расходы на содержание дороги Туруханск - Селиваниха и дорог межселенной территории (дорожный фонд)</v>
      </c>
      <c r="D21" s="22" t="s">
        <v>183</v>
      </c>
      <c r="E21" s="38" t="s">
        <v>174</v>
      </c>
      <c r="F21" s="26">
        <f>('пр к ПП1'!J20+'пр к ПП1'!J19)/1000</f>
        <v>13.45415</v>
      </c>
      <c r="G21" s="26">
        <f>('пр к ПП1'!L20+'пр к ПП1'!L19)/1000</f>
        <v>6.8508300000000002</v>
      </c>
      <c r="H21" s="26">
        <f>('пр к ПП1'!M20+'пр к ПП1'!M19)/1000</f>
        <v>6.8508300000000002</v>
      </c>
      <c r="I21" s="25">
        <f>SUM(F21:H21)</f>
        <v>27.155810000000002</v>
      </c>
      <c r="J21" s="73" t="s">
        <v>175</v>
      </c>
      <c r="K21" s="538"/>
    </row>
    <row r="22" spans="1:18" ht="109.5" customHeight="1">
      <c r="A22" s="542"/>
      <c r="B22" s="74">
        <v>4</v>
      </c>
      <c r="C22" s="42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22" t="s">
        <v>184</v>
      </c>
      <c r="E22" s="38" t="s">
        <v>185</v>
      </c>
      <c r="F22" s="25">
        <f>'пр к ПП1'!J22/1000</f>
        <v>2.6387550000000002</v>
      </c>
      <c r="G22" s="25">
        <f>'пр к ПП1'!L22/1000</f>
        <v>2.6387550000000002</v>
      </c>
      <c r="H22" s="25">
        <f>'пр к ПП1'!M22/1000</f>
        <v>2.6387550000000002</v>
      </c>
      <c r="I22" s="25">
        <f>'пр к ПП1'!N22/1000</f>
        <v>8.2995999999999999</v>
      </c>
      <c r="J22" s="73" t="s">
        <v>175</v>
      </c>
      <c r="K22" s="538"/>
    </row>
    <row r="23" spans="1:18" ht="109.5" customHeight="1">
      <c r="A23" s="542"/>
      <c r="B23" s="545">
        <v>5</v>
      </c>
      <c r="C23" s="545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539" t="s">
        <v>183</v>
      </c>
      <c r="E23" s="547" t="s">
        <v>174</v>
      </c>
      <c r="F23" s="70" t="e">
        <f>'пр к ПП1'!J24/1000</f>
        <v>#VALUE!</v>
      </c>
      <c r="G23" s="70">
        <f>'пр к ПП1'!L24/1000</f>
        <v>0</v>
      </c>
      <c r="H23" s="70">
        <f>'пр к ПП1'!M24/1000</f>
        <v>0</v>
      </c>
      <c r="I23" s="70">
        <f>'пр к ПП1'!N24/1000</f>
        <v>0</v>
      </c>
      <c r="J23" s="102" t="s">
        <v>182</v>
      </c>
      <c r="K23" s="75"/>
    </row>
    <row r="24" spans="1:18" ht="109.5" customHeight="1">
      <c r="A24" s="542"/>
      <c r="B24" s="546"/>
      <c r="C24" s="546"/>
      <c r="D24" s="541"/>
      <c r="E24" s="548"/>
      <c r="F24" s="70" t="e">
        <f>'пр к ПП1'!J25/1000</f>
        <v>#VALUE!</v>
      </c>
      <c r="G24" s="70">
        <f>'пр к ПП1'!L25/1000</f>
        <v>0</v>
      </c>
      <c r="H24" s="70">
        <f>'пр к ПП1'!M25/1000</f>
        <v>0</v>
      </c>
      <c r="I24" s="70">
        <f>'пр к ПП1'!N25/1000</f>
        <v>0</v>
      </c>
      <c r="J24" s="73" t="s">
        <v>175</v>
      </c>
      <c r="K24" s="103"/>
    </row>
    <row r="25" spans="1:18" ht="109.5" customHeight="1">
      <c r="A25" s="542"/>
      <c r="B25" s="95">
        <v>6</v>
      </c>
      <c r="C25" s="42" t="str">
        <f>'пр к ПП1'!B29</f>
        <v>Обустройство и содержание зимней автодороги Игарка - Светлогосрк - Туруханск</v>
      </c>
      <c r="D25" s="22" t="s">
        <v>183</v>
      </c>
      <c r="E25" s="38" t="s">
        <v>174</v>
      </c>
      <c r="F25" s="25">
        <f>'пр к ПП1'!J29/1000</f>
        <v>42.216628</v>
      </c>
      <c r="G25" s="25">
        <f>'пр к ПП1'!L29/1000</f>
        <v>38.049999999999997</v>
      </c>
      <c r="H25" s="25">
        <f>'пр к ПП1'!M29/1000</f>
        <v>38.049999999999997</v>
      </c>
      <c r="I25" s="25">
        <f>'пр к ПП1'!N29/1000</f>
        <v>115.53734799999999</v>
      </c>
      <c r="J25" s="94" t="s">
        <v>175</v>
      </c>
      <c r="K25" s="96"/>
    </row>
    <row r="26" spans="1:18">
      <c r="A26" s="542"/>
      <c r="B26" s="23"/>
      <c r="C26" s="48" t="s">
        <v>206</v>
      </c>
      <c r="D26" s="23" t="s">
        <v>30</v>
      </c>
      <c r="E26" s="23" t="s">
        <v>30</v>
      </c>
      <c r="F26" s="27" t="e">
        <f>F5+F13+F21+F22+F23+F24+F25</f>
        <v>#VALUE!</v>
      </c>
      <c r="G26" s="27">
        <f>G5+G13+G21+G22+G23+G24+G25</f>
        <v>88.932884999999999</v>
      </c>
      <c r="H26" s="27">
        <f t="shared" ref="H26:I26" si="17">H5+H13+H21+H22+H23+H24+H25</f>
        <v>90.001384999999999</v>
      </c>
      <c r="I26" s="27">
        <f t="shared" si="17"/>
        <v>272.85415799999998</v>
      </c>
      <c r="J26" s="23" t="s">
        <v>30</v>
      </c>
      <c r="K26" s="39"/>
    </row>
    <row r="28" spans="1:18" s="29" customFormat="1">
      <c r="B28" s="28"/>
      <c r="F28" s="30">
        <f>SUM(F6:F12,F14:F20)</f>
        <v>38.006300000000003</v>
      </c>
      <c r="G28" s="30">
        <f>SUM(G6:G12,G14:G20)</f>
        <v>41.393299999999996</v>
      </c>
      <c r="H28" s="30">
        <f>SUM(H6:H12,H14:H20)</f>
        <v>42.461799999999997</v>
      </c>
      <c r="I28" s="30">
        <f>SUM(I6:I12,I14:I20)</f>
        <v>121.86140000000002</v>
      </c>
      <c r="L28"/>
      <c r="M28"/>
      <c r="N28"/>
      <c r="O28"/>
      <c r="P28"/>
      <c r="Q28"/>
      <c r="R28"/>
    </row>
    <row r="29" spans="1:18" s="29" customFormat="1">
      <c r="B29" s="28"/>
      <c r="F29" s="31">
        <f>('пр к ПП1'!J17+'пр к ПП1'!J15)/1000</f>
        <v>48.546040999999995</v>
      </c>
      <c r="G29" s="31">
        <f>('пр к ПП1'!L17+'пр к ПП1'!L15)/1000</f>
        <v>55.564999999999998</v>
      </c>
      <c r="H29" s="31">
        <f>('пр к ПП1'!M17+'пр к ПП1'!M15)/1000</f>
        <v>55.564999999999998</v>
      </c>
      <c r="I29" s="31">
        <f>('пр к ПП1'!N17+'пр к ПП1'!N15)/1000</f>
        <v>171.256866</v>
      </c>
      <c r="L29"/>
      <c r="M29"/>
      <c r="N29"/>
      <c r="O29"/>
      <c r="P29"/>
      <c r="Q29"/>
      <c r="R29"/>
    </row>
    <row r="30" spans="1:18" s="29" customFormat="1">
      <c r="B30" s="28"/>
      <c r="F30" s="31" t="b">
        <f>F28=F29</f>
        <v>0</v>
      </c>
      <c r="G30" s="31" t="b">
        <f t="shared" ref="G30:I30" si="18">G28=G29</f>
        <v>0</v>
      </c>
      <c r="H30" s="31" t="b">
        <f t="shared" si="18"/>
        <v>0</v>
      </c>
      <c r="I30" s="31" t="b">
        <f t="shared" si="18"/>
        <v>0</v>
      </c>
      <c r="L30"/>
      <c r="M30"/>
      <c r="N30"/>
      <c r="O30"/>
      <c r="P30"/>
      <c r="Q30"/>
      <c r="R30"/>
    </row>
    <row r="34" spans="2:8" s="105" customFormat="1">
      <c r="B34" s="106"/>
      <c r="D34" s="107" t="s">
        <v>226</v>
      </c>
      <c r="F34" s="108" t="str">
        <f>F4</f>
        <v>2024</v>
      </c>
      <c r="G34" s="108" t="str">
        <f t="shared" ref="G34:H34" si="19">G4</f>
        <v>2025</v>
      </c>
      <c r="H34" s="108" t="str">
        <f t="shared" si="19"/>
        <v>2026</v>
      </c>
    </row>
    <row r="35" spans="2:8" s="105" customFormat="1">
      <c r="B35" s="106"/>
      <c r="D35" s="109" t="s">
        <v>257</v>
      </c>
      <c r="F35" s="110">
        <v>3956.4</v>
      </c>
      <c r="G35" s="111">
        <v>4110</v>
      </c>
      <c r="H35" s="111">
        <v>4271</v>
      </c>
    </row>
    <row r="36" spans="2:8" s="105" customFormat="1">
      <c r="B36" s="106"/>
      <c r="D36" s="109" t="s">
        <v>258</v>
      </c>
      <c r="F36" s="110">
        <v>879.2</v>
      </c>
      <c r="G36" s="111">
        <v>914</v>
      </c>
      <c r="H36" s="111">
        <v>950</v>
      </c>
    </row>
    <row r="37" spans="2:8" s="105" customFormat="1">
      <c r="B37" s="106"/>
      <c r="D37" s="109" t="s">
        <v>259</v>
      </c>
      <c r="F37" s="110">
        <v>2813.4</v>
      </c>
      <c r="G37" s="111">
        <v>2922</v>
      </c>
      <c r="H37" s="111">
        <v>3036</v>
      </c>
    </row>
    <row r="38" spans="2:8" s="105" customFormat="1">
      <c r="B38" s="106"/>
      <c r="D38" s="109" t="s">
        <v>260</v>
      </c>
      <c r="F38" s="110">
        <v>879.2</v>
      </c>
      <c r="G38" s="111">
        <v>914</v>
      </c>
      <c r="H38" s="111">
        <v>950</v>
      </c>
    </row>
    <row r="39" spans="2:8" s="105" customFormat="1">
      <c r="B39" s="106"/>
      <c r="D39" s="109" t="s">
        <v>261</v>
      </c>
      <c r="F39" s="110">
        <v>8000.8</v>
      </c>
      <c r="G39" s="111">
        <v>8312.6</v>
      </c>
      <c r="H39" s="111">
        <v>8637</v>
      </c>
    </row>
    <row r="40" spans="2:8" s="105" customFormat="1">
      <c r="B40" s="106"/>
      <c r="D40" s="109" t="s">
        <v>262</v>
      </c>
      <c r="F40" s="110">
        <v>1143.4000000000001</v>
      </c>
      <c r="G40" s="111">
        <v>1190</v>
      </c>
      <c r="H40" s="111">
        <v>1235</v>
      </c>
    </row>
    <row r="41" spans="2:8" s="105" customFormat="1">
      <c r="B41" s="106"/>
      <c r="D41" s="109" t="s">
        <v>263</v>
      </c>
      <c r="F41" s="110">
        <v>8697.7999999999993</v>
      </c>
      <c r="G41" s="111">
        <v>9036</v>
      </c>
      <c r="H41" s="111">
        <v>9388.0999999999985</v>
      </c>
    </row>
    <row r="42" spans="2:8" s="105" customFormat="1">
      <c r="B42" s="106"/>
      <c r="F42" s="112">
        <f>SUM(F35:F41)</f>
        <v>26370.2</v>
      </c>
      <c r="G42" s="112">
        <f t="shared" ref="G42:H42" si="20">SUM(G35:G41)</f>
        <v>27398.6</v>
      </c>
      <c r="H42" s="112">
        <f t="shared" si="20"/>
        <v>28467.1</v>
      </c>
    </row>
    <row r="43" spans="2:8" s="105" customFormat="1">
      <c r="B43" s="106"/>
    </row>
    <row r="44" spans="2:8" s="105" customFormat="1">
      <c r="B44" s="106"/>
    </row>
    <row r="45" spans="2:8" s="105" customFormat="1">
      <c r="B45" s="106"/>
      <c r="D45" s="107" t="s">
        <v>225</v>
      </c>
      <c r="F45" s="108" t="str">
        <f>F34</f>
        <v>2024</v>
      </c>
      <c r="G45" s="108" t="str">
        <f t="shared" ref="G45:H45" si="21">G34</f>
        <v>2025</v>
      </c>
      <c r="H45" s="108" t="str">
        <f t="shared" si="21"/>
        <v>2026</v>
      </c>
    </row>
    <row r="46" spans="2:8" s="105" customFormat="1">
      <c r="B46" s="106"/>
      <c r="D46" s="109" t="s">
        <v>257</v>
      </c>
      <c r="F46" s="110">
        <v>1396</v>
      </c>
      <c r="G46" s="111">
        <v>1747.684</v>
      </c>
      <c r="H46" s="111">
        <v>1747.684</v>
      </c>
    </row>
    <row r="47" spans="2:8" s="105" customFormat="1">
      <c r="B47" s="106"/>
      <c r="D47" s="109" t="s">
        <v>258</v>
      </c>
      <c r="F47" s="110">
        <v>698</v>
      </c>
      <c r="G47" s="111">
        <v>873.84400000000005</v>
      </c>
      <c r="H47" s="111">
        <v>873.84400000000005</v>
      </c>
    </row>
    <row r="48" spans="2:8" s="105" customFormat="1">
      <c r="B48" s="106"/>
      <c r="D48" s="109" t="s">
        <v>259</v>
      </c>
      <c r="F48" s="110">
        <v>698</v>
      </c>
      <c r="G48" s="111">
        <v>873.84400000000005</v>
      </c>
      <c r="H48" s="111">
        <v>873.84400000000005</v>
      </c>
    </row>
    <row r="49" spans="2:8" s="105" customFormat="1">
      <c r="B49" s="106"/>
      <c r="D49" s="109" t="s">
        <v>260</v>
      </c>
      <c r="F49" s="110">
        <v>698</v>
      </c>
      <c r="G49" s="111">
        <v>873.84400000000005</v>
      </c>
      <c r="H49" s="111">
        <v>873.84400000000005</v>
      </c>
    </row>
    <row r="50" spans="2:8" s="105" customFormat="1">
      <c r="B50" s="106"/>
      <c r="D50" s="109" t="s">
        <v>261</v>
      </c>
      <c r="F50" s="110">
        <v>5121.1000000000004</v>
      </c>
      <c r="G50" s="111">
        <v>6029.3370000000004</v>
      </c>
      <c r="H50" s="111">
        <v>6029.3370000000004</v>
      </c>
    </row>
    <row r="51" spans="2:8" s="105" customFormat="1">
      <c r="B51" s="106"/>
      <c r="D51" s="109" t="s">
        <v>262</v>
      </c>
      <c r="F51" s="110"/>
      <c r="G51" s="111"/>
      <c r="H51" s="111"/>
    </row>
    <row r="52" spans="2:8" s="105" customFormat="1">
      <c r="B52" s="106"/>
      <c r="D52" s="109" t="s">
        <v>263</v>
      </c>
      <c r="F52" s="110">
        <v>3025</v>
      </c>
      <c r="G52" s="111">
        <v>3596.1469999999999</v>
      </c>
      <c r="H52" s="111">
        <v>3596.1469999999999</v>
      </c>
    </row>
    <row r="53" spans="2:8">
      <c r="F53" s="112">
        <f>SUM(F46:F52)</f>
        <v>11636.1</v>
      </c>
      <c r="G53" s="112">
        <f t="shared" ref="G53" si="22">SUM(G46:G52)</f>
        <v>13994.7</v>
      </c>
      <c r="H53" s="112">
        <f t="shared" ref="H53" si="23">SUM(H46:H52)</f>
        <v>13994.7</v>
      </c>
    </row>
  </sheetData>
  <mergeCells count="27"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9"/>
  <sheetViews>
    <sheetView topLeftCell="C1" zoomScale="85" zoomScaleNormal="85" workbookViewId="0">
      <selection activeCell="L7" sqref="L7"/>
    </sheetView>
  </sheetViews>
  <sheetFormatPr defaultRowHeight="15.75" outlineLevelRow="1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>
      <c r="A1" s="537" t="s">
        <v>19</v>
      </c>
      <c r="B1" s="537" t="s">
        <v>165</v>
      </c>
      <c r="C1" s="537" t="s">
        <v>166</v>
      </c>
      <c r="D1" s="537" t="s">
        <v>167</v>
      </c>
      <c r="E1" s="537" t="s">
        <v>168</v>
      </c>
      <c r="F1" s="537"/>
      <c r="G1" s="537"/>
      <c r="H1" s="537"/>
      <c r="I1" s="537"/>
    </row>
    <row r="2" spans="1:10">
      <c r="A2" s="537"/>
      <c r="B2" s="537"/>
      <c r="C2" s="537"/>
      <c r="D2" s="537"/>
      <c r="E2" s="537" t="s">
        <v>169</v>
      </c>
      <c r="F2" s="537"/>
      <c r="G2" s="537"/>
      <c r="H2" s="537"/>
      <c r="I2" s="537" t="s">
        <v>170</v>
      </c>
    </row>
    <row r="3" spans="1:10">
      <c r="A3" s="537"/>
      <c r="B3" s="537"/>
      <c r="C3" s="537"/>
      <c r="D3" s="537"/>
      <c r="E3" s="537" t="s">
        <v>171</v>
      </c>
      <c r="F3" s="537"/>
      <c r="G3" s="537"/>
      <c r="H3" s="537" t="s">
        <v>172</v>
      </c>
      <c r="I3" s="537"/>
    </row>
    <row r="4" spans="1:10">
      <c r="A4" s="537"/>
      <c r="B4" s="537"/>
      <c r="C4" s="537"/>
      <c r="D4" s="537"/>
      <c r="E4" s="61">
        <v>2018</v>
      </c>
      <c r="F4" s="61">
        <v>2019</v>
      </c>
      <c r="G4" s="61">
        <v>2020</v>
      </c>
      <c r="H4" s="537"/>
      <c r="I4" s="537"/>
    </row>
    <row r="5" spans="1:10" ht="92.25" customHeight="1">
      <c r="A5" s="15">
        <v>1</v>
      </c>
      <c r="B5" s="16" t="s">
        <v>100</v>
      </c>
      <c r="C5" s="550" t="s">
        <v>173</v>
      </c>
      <c r="D5" s="539" t="s">
        <v>174</v>
      </c>
      <c r="E5" s="63">
        <f>'+ пр к ПП2'!J15/1000</f>
        <v>204.20908499999999</v>
      </c>
      <c r="F5" s="63">
        <f>'+ пр к ПП2'!K15/1000</f>
        <v>207.97073936000001</v>
      </c>
      <c r="G5" s="63">
        <f>'+ пр к ПП2'!L15/1000</f>
        <v>209.36545900000002</v>
      </c>
      <c r="H5" s="63">
        <f t="shared" ref="H5:H12" si="0">SUM(E5:G5)</f>
        <v>621.54528335999998</v>
      </c>
      <c r="I5" s="15" t="s">
        <v>175</v>
      </c>
    </row>
    <row r="6" spans="1:10" ht="92.25" customHeight="1">
      <c r="A6" s="73" t="s">
        <v>3</v>
      </c>
      <c r="B6" s="16" t="s">
        <v>230</v>
      </c>
      <c r="C6" s="551"/>
      <c r="D6" s="540"/>
      <c r="E6" s="63">
        <f>E5-E7</f>
        <v>192.52101173999998</v>
      </c>
      <c r="F6" s="63">
        <f t="shared" ref="F6:G6" si="1">F5-F7</f>
        <v>196.2826661</v>
      </c>
      <c r="G6" s="63">
        <f t="shared" si="1"/>
        <v>197.67738574000001</v>
      </c>
      <c r="H6" s="63">
        <f t="shared" si="0"/>
        <v>586.48106357999995</v>
      </c>
      <c r="I6" s="73" t="s">
        <v>175</v>
      </c>
    </row>
    <row r="7" spans="1:10" ht="92.25" customHeight="1">
      <c r="A7" s="73" t="s">
        <v>79</v>
      </c>
      <c r="B7" s="16" t="s">
        <v>231</v>
      </c>
      <c r="C7" s="552"/>
      <c r="D7" s="541"/>
      <c r="E7" s="63">
        <f>(1688073.36+9999999.9)/1000000</f>
        <v>11.688073259999999</v>
      </c>
      <c r="F7" s="63">
        <f t="shared" ref="F7:G7" si="2">(1688073.36+9999999.9)/1000000</f>
        <v>11.688073259999999</v>
      </c>
      <c r="G7" s="63">
        <f t="shared" si="2"/>
        <v>11.688073259999999</v>
      </c>
      <c r="H7" s="63">
        <f t="shared" si="0"/>
        <v>35.064219780000002</v>
      </c>
      <c r="I7" s="73" t="s">
        <v>175</v>
      </c>
    </row>
    <row r="8" spans="1:10" ht="87" customHeight="1">
      <c r="A8" s="537">
        <v>2</v>
      </c>
      <c r="B8" s="549" t="s">
        <v>101</v>
      </c>
      <c r="C8" s="17" t="s">
        <v>176</v>
      </c>
      <c r="D8" s="537" t="s">
        <v>174</v>
      </c>
      <c r="E8" s="63">
        <f>SUM(E9:E12)</f>
        <v>23.853501561414642</v>
      </c>
      <c r="F8" s="63">
        <f t="shared" ref="F8:G8" si="3">SUM(F9:F12)</f>
        <v>23.853501561414642</v>
      </c>
      <c r="G8" s="63">
        <f t="shared" si="3"/>
        <v>23.853501561414642</v>
      </c>
      <c r="H8" s="63">
        <f t="shared" si="0"/>
        <v>71.560504684243924</v>
      </c>
      <c r="I8" s="539" t="s">
        <v>175</v>
      </c>
    </row>
    <row r="9" spans="1:10">
      <c r="A9" s="537"/>
      <c r="B9" s="549"/>
      <c r="C9" s="18" t="s">
        <v>178</v>
      </c>
      <c r="D9" s="537"/>
      <c r="E9" s="64">
        <f>J9/1000000</f>
        <v>18.31394842027715</v>
      </c>
      <c r="F9" s="64">
        <f>E9</f>
        <v>18.31394842027715</v>
      </c>
      <c r="G9" s="64">
        <f>F9</f>
        <v>18.31394842027715</v>
      </c>
      <c r="H9" s="64">
        <f t="shared" si="0"/>
        <v>54.94184526083145</v>
      </c>
      <c r="I9" s="540"/>
      <c r="J9" s="99">
        <v>18313948.420277148</v>
      </c>
    </row>
    <row r="10" spans="1:10">
      <c r="A10" s="537"/>
      <c r="B10" s="549"/>
      <c r="C10" s="18" t="s">
        <v>179</v>
      </c>
      <c r="D10" s="537"/>
      <c r="E10" s="64">
        <f t="shared" ref="E10:E12" si="4">J10/1000000</f>
        <v>3.2322237667255029</v>
      </c>
      <c r="F10" s="64">
        <f t="shared" ref="F10:G12" si="5">E10</f>
        <v>3.2322237667255029</v>
      </c>
      <c r="G10" s="64">
        <f t="shared" si="5"/>
        <v>3.2322237667255029</v>
      </c>
      <c r="H10" s="64">
        <f t="shared" si="0"/>
        <v>9.6966713001765079</v>
      </c>
      <c r="I10" s="540"/>
      <c r="J10" s="99">
        <v>3232223.7667255029</v>
      </c>
    </row>
    <row r="11" spans="1:10">
      <c r="A11" s="537"/>
      <c r="B11" s="549"/>
      <c r="C11" s="18" t="s">
        <v>180</v>
      </c>
      <c r="D11" s="537"/>
      <c r="E11" s="64">
        <f t="shared" si="4"/>
        <v>1.7207185929828479</v>
      </c>
      <c r="F11" s="64">
        <f t="shared" si="5"/>
        <v>1.7207185929828479</v>
      </c>
      <c r="G11" s="64">
        <f t="shared" si="5"/>
        <v>1.7207185929828479</v>
      </c>
      <c r="H11" s="64">
        <f t="shared" si="0"/>
        <v>5.1621557789485433</v>
      </c>
      <c r="I11" s="540"/>
      <c r="J11" s="99">
        <v>1720718.5929828479</v>
      </c>
    </row>
    <row r="12" spans="1:10">
      <c r="A12" s="537"/>
      <c r="B12" s="549"/>
      <c r="C12" s="18" t="s">
        <v>177</v>
      </c>
      <c r="D12" s="537"/>
      <c r="E12" s="64">
        <f t="shared" si="4"/>
        <v>0.58661078142913992</v>
      </c>
      <c r="F12" s="64">
        <f t="shared" si="5"/>
        <v>0.58661078142913992</v>
      </c>
      <c r="G12" s="64">
        <f t="shared" si="5"/>
        <v>0.58661078142913992</v>
      </c>
      <c r="H12" s="64">
        <f t="shared" si="0"/>
        <v>1.7598323442874197</v>
      </c>
      <c r="I12" s="541"/>
      <c r="J12" s="99">
        <v>586610.7814291399</v>
      </c>
    </row>
    <row r="13" spans="1:10" ht="76.5" hidden="1">
      <c r="A13" s="40">
        <v>3</v>
      </c>
      <c r="B13" s="41" t="e">
        <f>'+ пр к ПП2'!#REF!</f>
        <v>#REF!</v>
      </c>
      <c r="C13" s="16" t="s">
        <v>173</v>
      </c>
      <c r="D13" s="40" t="s">
        <v>204</v>
      </c>
      <c r="E13" s="64" t="e">
        <f>'+ пр к ПП2'!#REF!/1000</f>
        <v>#REF!</v>
      </c>
      <c r="F13" s="64" t="e">
        <f>'+ пр к ПП2'!#REF!/1000</f>
        <v>#REF!</v>
      </c>
      <c r="G13" s="64" t="e">
        <f>'+ пр к ПП2'!#REF!/1000</f>
        <v>#REF!</v>
      </c>
      <c r="H13" s="64" t="e">
        <f t="shared" ref="H13:H14" si="6">SUM(E13:G13)</f>
        <v>#REF!</v>
      </c>
      <c r="I13" s="40" t="s">
        <v>175</v>
      </c>
    </row>
    <row r="14" spans="1:10" ht="65.25" hidden="1" customHeight="1" outlineLevel="1">
      <c r="A14" s="40">
        <v>3</v>
      </c>
      <c r="B14" s="41" t="str">
        <f>'+ пр к ПП2'!B22</f>
        <v>Создание условий для безопасности перевозок автомобильным, авиационным и речным транспортом</v>
      </c>
      <c r="C14" s="22" t="s">
        <v>183</v>
      </c>
      <c r="D14" s="40" t="s">
        <v>174</v>
      </c>
      <c r="E14" s="64">
        <f>'+ пр к ПП2'!J22/1000</f>
        <v>0</v>
      </c>
      <c r="F14" s="64">
        <f>'+ пр к ПП2'!K22/1000</f>
        <v>0</v>
      </c>
      <c r="G14" s="64">
        <f>'+ пр к ПП2'!L22/1000</f>
        <v>0</v>
      </c>
      <c r="H14" s="64">
        <f t="shared" si="6"/>
        <v>0</v>
      </c>
      <c r="I14" s="40" t="s">
        <v>175</v>
      </c>
    </row>
    <row r="15" spans="1:10" ht="127.5" hidden="1" outlineLevel="1">
      <c r="A15" s="90">
        <v>4</v>
      </c>
      <c r="B15" s="91" t="str">
        <f>'+ 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22" t="s">
        <v>243</v>
      </c>
      <c r="D15" s="90" t="s">
        <v>174</v>
      </c>
      <c r="E15" s="64">
        <f>'+ пр к ПП2'!J24/1000</f>
        <v>0</v>
      </c>
      <c r="F15" s="64">
        <f>'+ пр к ПП2'!K24/1000</f>
        <v>0</v>
      </c>
      <c r="G15" s="64">
        <f>'+ пр к ПП2'!L24/1000</f>
        <v>0</v>
      </c>
      <c r="H15" s="64">
        <f>'+ пр к ПП2'!N24/1000</f>
        <v>0</v>
      </c>
      <c r="I15" s="90" t="s">
        <v>175</v>
      </c>
    </row>
    <row r="16" spans="1:10" s="21" customFormat="1" collapsed="1">
      <c r="A16" s="19"/>
      <c r="B16" s="48" t="s">
        <v>206</v>
      </c>
      <c r="C16" s="20" t="s">
        <v>30</v>
      </c>
      <c r="D16" s="20" t="s">
        <v>30</v>
      </c>
      <c r="E16" s="65">
        <f>E5+E8+E15</f>
        <v>228.06258656141463</v>
      </c>
      <c r="F16" s="65">
        <f t="shared" ref="F16:H16" si="7">F5+F8+F15</f>
        <v>231.82424092141466</v>
      </c>
      <c r="G16" s="65">
        <f t="shared" si="7"/>
        <v>233.21896056141466</v>
      </c>
      <c r="H16" s="65">
        <f t="shared" si="7"/>
        <v>693.10578804424392</v>
      </c>
      <c r="I16" s="20" t="s">
        <v>30</v>
      </c>
    </row>
    <row r="19" spans="3:8">
      <c r="C19" s="18"/>
      <c r="E19" s="98">
        <f>E16*1000-'+ пр к ПП2'!J50</f>
        <v>-82548.998438585317</v>
      </c>
      <c r="F19" s="98">
        <f>F16*1000-'+ пр к ПП2'!K50</f>
        <v>-34376.765448585356</v>
      </c>
      <c r="G19" s="98">
        <f>G16*1000-'+ пр к ПП2'!L50</f>
        <v>-45274.402438585355</v>
      </c>
      <c r="H19" s="98">
        <f>H16*1000-'+ пр к ПП2'!N50</f>
        <v>-130081.94432575605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5"/>
  <sheetViews>
    <sheetView topLeftCell="A4" workbookViewId="0">
      <selection activeCell="L7" sqref="L7"/>
    </sheetView>
  </sheetViews>
  <sheetFormatPr defaultRowHeight="15.75" outlineLevelRow="1"/>
  <cols>
    <col min="1" max="1" width="3.5" style="43" customWidth="1"/>
    <col min="2" max="2" width="20.375" customWidth="1"/>
    <col min="3" max="3" width="28" customWidth="1"/>
    <col min="4" max="4" width="10" customWidth="1"/>
    <col min="9" max="9" width="9" style="24"/>
  </cols>
  <sheetData>
    <row r="1" spans="1:9">
      <c r="A1" s="553" t="s">
        <v>19</v>
      </c>
      <c r="B1" s="553" t="s">
        <v>165</v>
      </c>
      <c r="C1" s="553" t="s">
        <v>166</v>
      </c>
      <c r="D1" s="553" t="s">
        <v>167</v>
      </c>
      <c r="E1" s="553" t="s">
        <v>168</v>
      </c>
      <c r="F1" s="553"/>
      <c r="G1" s="553"/>
      <c r="H1" s="553"/>
      <c r="I1" s="553"/>
    </row>
    <row r="2" spans="1:9">
      <c r="A2" s="553"/>
      <c r="B2" s="553"/>
      <c r="C2" s="553"/>
      <c r="D2" s="553"/>
      <c r="E2" s="553" t="s">
        <v>205</v>
      </c>
      <c r="F2" s="553"/>
      <c r="G2" s="553"/>
      <c r="H2" s="553"/>
      <c r="I2" s="553" t="s">
        <v>170</v>
      </c>
    </row>
    <row r="3" spans="1:9">
      <c r="A3" s="553"/>
      <c r="B3" s="553"/>
      <c r="C3" s="553"/>
      <c r="D3" s="553"/>
      <c r="E3" s="553" t="s">
        <v>171</v>
      </c>
      <c r="F3" s="553"/>
      <c r="G3" s="553"/>
      <c r="H3" s="553" t="s">
        <v>172</v>
      </c>
      <c r="I3" s="553"/>
    </row>
    <row r="4" spans="1:9">
      <c r="A4" s="553"/>
      <c r="B4" s="553"/>
      <c r="C4" s="553"/>
      <c r="D4" s="553"/>
      <c r="E4" s="73" t="str">
        <f>пп1!F4</f>
        <v>2024</v>
      </c>
      <c r="F4" s="102" t="str">
        <f>пп1!G4</f>
        <v>2025</v>
      </c>
      <c r="G4" s="102" t="str">
        <f>пп1!H4</f>
        <v>2026</v>
      </c>
      <c r="H4" s="553"/>
      <c r="I4" s="553"/>
    </row>
    <row r="5" spans="1:9" ht="72.75" hidden="1" customHeight="1" outlineLevel="1">
      <c r="A5" s="77">
        <v>1</v>
      </c>
      <c r="B5" s="56" t="str">
        <f>'+пр к ПП3'!B15</f>
        <v>Проведение мероприятий, направленных на обеспечение безопасного участия детей в дорожном движении</v>
      </c>
      <c r="C5" s="557" t="s">
        <v>208</v>
      </c>
      <c r="D5" s="553" t="s">
        <v>207</v>
      </c>
      <c r="E5" s="44">
        <f>E6+E7</f>
        <v>0</v>
      </c>
      <c r="F5" s="44">
        <f t="shared" ref="F5:G5" si="0">F6+F7</f>
        <v>0</v>
      </c>
      <c r="G5" s="44">
        <f t="shared" si="0"/>
        <v>0</v>
      </c>
      <c r="H5" s="44">
        <f>SUM(E5:G5)</f>
        <v>0</v>
      </c>
      <c r="I5" s="77"/>
    </row>
    <row r="6" spans="1:9" ht="101.25" hidden="1" customHeight="1" outlineLevel="1">
      <c r="A6" s="77" t="s">
        <v>3</v>
      </c>
      <c r="B6" s="56" t="s">
        <v>219</v>
      </c>
      <c r="C6" s="557"/>
      <c r="D6" s="553"/>
      <c r="E6" s="44">
        <f>'+пр к ПП3'!J15</f>
        <v>0</v>
      </c>
      <c r="F6" s="44">
        <f>'+пр к ПП3'!K15</f>
        <v>0</v>
      </c>
      <c r="G6" s="44">
        <f>'+пр к ПП3'!L15</f>
        <v>0</v>
      </c>
      <c r="H6" s="44">
        <f t="shared" ref="H6:H10" si="1">SUM(E6:G6)</f>
        <v>0</v>
      </c>
      <c r="I6" s="77" t="s">
        <v>182</v>
      </c>
    </row>
    <row r="7" spans="1:9" ht="93.75" hidden="1" customHeight="1" outlineLevel="1">
      <c r="A7" s="77" t="s">
        <v>79</v>
      </c>
      <c r="B7" s="56" t="s">
        <v>220</v>
      </c>
      <c r="C7" s="557"/>
      <c r="D7" s="553"/>
      <c r="E7" s="44">
        <f>'+пр к ПП3'!J16</f>
        <v>0</v>
      </c>
      <c r="F7" s="44">
        <f>'+пр к ПП3'!K16</f>
        <v>0</v>
      </c>
      <c r="G7" s="44">
        <f>'+пр к ПП3'!L16</f>
        <v>0</v>
      </c>
      <c r="H7" s="44">
        <f t="shared" si="1"/>
        <v>0</v>
      </c>
      <c r="I7" s="77" t="s">
        <v>175</v>
      </c>
    </row>
    <row r="8" spans="1:9" ht="38.25" customHeight="1" collapsed="1">
      <c r="A8" s="554">
        <v>1</v>
      </c>
      <c r="B8" s="554" t="str">
        <f>'+пр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56" t="s">
        <v>181</v>
      </c>
      <c r="D8" s="554" t="s">
        <v>51</v>
      </c>
      <c r="E8" s="46">
        <f>E9+E10</f>
        <v>220.5</v>
      </c>
      <c r="F8" s="46">
        <f>'+пр к ПП3'!K18</f>
        <v>0</v>
      </c>
      <c r="G8" s="46">
        <f>'+пр к ПП3'!L18</f>
        <v>0</v>
      </c>
      <c r="H8" s="44">
        <f t="shared" si="1"/>
        <v>220.5</v>
      </c>
      <c r="I8" s="554" t="s">
        <v>182</v>
      </c>
    </row>
    <row r="9" spans="1:9" ht="30.75" customHeight="1">
      <c r="A9" s="555"/>
      <c r="B9" s="555"/>
      <c r="C9" s="104" t="s">
        <v>179</v>
      </c>
      <c r="D9" s="555"/>
      <c r="E9" s="46">
        <v>88.2</v>
      </c>
      <c r="F9" s="46"/>
      <c r="G9" s="46"/>
      <c r="H9" s="44">
        <f t="shared" si="1"/>
        <v>88.2</v>
      </c>
      <c r="I9" s="555"/>
    </row>
    <row r="10" spans="1:9" ht="25.5">
      <c r="A10" s="556"/>
      <c r="B10" s="556"/>
      <c r="C10" s="104" t="s">
        <v>178</v>
      </c>
      <c r="D10" s="556"/>
      <c r="E10" s="46">
        <v>132.30000000000001</v>
      </c>
      <c r="F10" s="46"/>
      <c r="G10" s="46"/>
      <c r="H10" s="44">
        <f t="shared" si="1"/>
        <v>132.30000000000001</v>
      </c>
      <c r="I10" s="556"/>
    </row>
    <row r="11" spans="1:9" ht="102">
      <c r="A11" s="78">
        <v>2</v>
      </c>
      <c r="B11" s="62" t="str">
        <f>'+пр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79" t="s">
        <v>237</v>
      </c>
      <c r="D11" s="78" t="s">
        <v>239</v>
      </c>
      <c r="E11" s="46">
        <v>0</v>
      </c>
      <c r="F11" s="46">
        <v>0</v>
      </c>
      <c r="G11" s="46">
        <v>0</v>
      </c>
      <c r="H11" s="44">
        <v>0</v>
      </c>
      <c r="I11" s="78" t="s">
        <v>240</v>
      </c>
    </row>
    <row r="12" spans="1:9" s="21" customFormat="1">
      <c r="A12" s="47"/>
      <c r="B12" s="48" t="s">
        <v>206</v>
      </c>
      <c r="C12" s="47" t="s">
        <v>30</v>
      </c>
      <c r="D12" s="47" t="s">
        <v>30</v>
      </c>
      <c r="E12" s="49">
        <f>E5+E8</f>
        <v>220.5</v>
      </c>
      <c r="F12" s="49">
        <f t="shared" ref="F12:H12" si="2">F5+F8</f>
        <v>0</v>
      </c>
      <c r="G12" s="49">
        <f t="shared" si="2"/>
        <v>0</v>
      </c>
      <c r="H12" s="49">
        <f t="shared" si="2"/>
        <v>220.5</v>
      </c>
      <c r="I12" s="47" t="s">
        <v>30</v>
      </c>
    </row>
    <row r="14" spans="1:9">
      <c r="E14" s="89">
        <f>'+пр к ПП3'!J26</f>
        <v>0</v>
      </c>
      <c r="F14" s="67">
        <f>'+пр к ПП3'!K26</f>
        <v>0</v>
      </c>
      <c r="G14" s="67">
        <f>'+пр к ПП3'!L26</f>
        <v>0</v>
      </c>
      <c r="H14">
        <f t="shared" ref="H14" si="3">SUM(E14:G14)</f>
        <v>0</v>
      </c>
    </row>
    <row r="15" spans="1:9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8:A10"/>
    <mergeCell ref="B8:B10"/>
    <mergeCell ref="D8:D10"/>
    <mergeCell ref="I8:I10"/>
    <mergeCell ref="C5:C7"/>
    <mergeCell ref="D5:D7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/>
  <cols>
    <col min="2" max="2" width="17.375" customWidth="1"/>
    <col min="3" max="3" width="21.375" customWidth="1"/>
    <col min="5" max="7" width="6.625" customWidth="1"/>
  </cols>
  <sheetData>
    <row r="1" spans="1:9">
      <c r="A1" s="553" t="s">
        <v>19</v>
      </c>
      <c r="B1" s="553" t="s">
        <v>165</v>
      </c>
      <c r="C1" s="553" t="s">
        <v>166</v>
      </c>
      <c r="D1" s="553" t="s">
        <v>167</v>
      </c>
      <c r="E1" s="553" t="s">
        <v>168</v>
      </c>
      <c r="F1" s="553"/>
      <c r="G1" s="553"/>
      <c r="H1" s="553"/>
      <c r="I1" s="553"/>
    </row>
    <row r="2" spans="1:9">
      <c r="A2" s="553"/>
      <c r="B2" s="553"/>
      <c r="C2" s="553"/>
      <c r="D2" s="553"/>
      <c r="E2" s="553" t="s">
        <v>205</v>
      </c>
      <c r="F2" s="553"/>
      <c r="G2" s="553"/>
      <c r="H2" s="553"/>
      <c r="I2" s="553" t="s">
        <v>170</v>
      </c>
    </row>
    <row r="3" spans="1:9">
      <c r="A3" s="553"/>
      <c r="B3" s="553"/>
      <c r="C3" s="553"/>
      <c r="D3" s="553"/>
      <c r="E3" s="553" t="s">
        <v>171</v>
      </c>
      <c r="F3" s="553"/>
      <c r="G3" s="553"/>
      <c r="H3" s="553" t="s">
        <v>172</v>
      </c>
      <c r="I3" s="553"/>
    </row>
    <row r="4" spans="1:9">
      <c r="A4" s="553"/>
      <c r="B4" s="553"/>
      <c r="C4" s="553"/>
      <c r="D4" s="553"/>
      <c r="E4" s="73">
        <v>2018</v>
      </c>
      <c r="F4" s="73">
        <v>2019</v>
      </c>
      <c r="G4" s="73">
        <v>2020</v>
      </c>
      <c r="H4" s="553"/>
      <c r="I4" s="553"/>
    </row>
    <row r="5" spans="1:9" ht="178.5" customHeight="1">
      <c r="A5" s="77">
        <v>1</v>
      </c>
      <c r="B5" s="82" t="s">
        <v>221</v>
      </c>
      <c r="C5" s="56" t="s">
        <v>208</v>
      </c>
      <c r="D5" s="77" t="s">
        <v>174</v>
      </c>
      <c r="E5" s="45">
        <f>'+пр к ПП4'!J15/1000</f>
        <v>15.59018</v>
      </c>
      <c r="F5" s="45">
        <f>'+пр к ПП4'!K15/1000</f>
        <v>11.999999959999998</v>
      </c>
      <c r="G5" s="45">
        <f>'+пр к ПП4'!L15/1000</f>
        <v>15.6</v>
      </c>
      <c r="H5" s="44">
        <f t="shared" ref="H5" si="0">SUM(E5:G5)</f>
        <v>43.190179960000002</v>
      </c>
      <c r="I5" s="77" t="s">
        <v>175</v>
      </c>
    </row>
    <row r="6" spans="1:9" ht="106.5" customHeight="1">
      <c r="A6" s="558">
        <v>2</v>
      </c>
      <c r="B6" s="84" t="str">
        <f>'+пр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559" t="s">
        <v>183</v>
      </c>
      <c r="D6" s="537" t="s">
        <v>174</v>
      </c>
      <c r="E6" s="81">
        <f>E7+E8</f>
        <v>0</v>
      </c>
      <c r="F6" s="87">
        <f t="shared" ref="F6:H6" si="1">F7+F8</f>
        <v>0</v>
      </c>
      <c r="G6" s="87">
        <f t="shared" si="1"/>
        <v>0</v>
      </c>
      <c r="H6" s="81">
        <f t="shared" si="1"/>
        <v>0</v>
      </c>
      <c r="I6" s="80"/>
    </row>
    <row r="7" spans="1:9" ht="25.5">
      <c r="A7" s="558"/>
      <c r="B7" s="85" t="s">
        <v>232</v>
      </c>
      <c r="C7" s="559"/>
      <c r="D7" s="537"/>
      <c r="E7" s="73">
        <f>'+пр к ПП4'!J17/1000</f>
        <v>0</v>
      </c>
      <c r="F7" s="87">
        <v>0</v>
      </c>
      <c r="G7" s="87">
        <v>0</v>
      </c>
      <c r="H7" s="73">
        <f>'+пр к ПП4'!N17/1000</f>
        <v>0</v>
      </c>
      <c r="I7" s="73" t="s">
        <v>182</v>
      </c>
    </row>
    <row r="8" spans="1:9" ht="25.5">
      <c r="A8" s="558"/>
      <c r="B8" s="86"/>
      <c r="C8" s="559"/>
      <c r="D8" s="537"/>
      <c r="E8" s="81">
        <f>'+пр к ПП4'!J18/1000</f>
        <v>0</v>
      </c>
      <c r="F8" s="87">
        <v>0</v>
      </c>
      <c r="G8" s="87">
        <v>0</v>
      </c>
      <c r="H8" s="81">
        <f>'+пр к ПП4'!N18/1000</f>
        <v>0</v>
      </c>
      <c r="I8" s="73" t="s">
        <v>175</v>
      </c>
    </row>
    <row r="9" spans="1:9" ht="25.5">
      <c r="A9" s="47"/>
      <c r="B9" s="83" t="s">
        <v>206</v>
      </c>
      <c r="C9" s="47" t="s">
        <v>30</v>
      </c>
      <c r="D9" s="47" t="s">
        <v>30</v>
      </c>
      <c r="E9" s="49">
        <f>E5+E6</f>
        <v>15.59018</v>
      </c>
      <c r="F9" s="49">
        <f t="shared" ref="F9:H9" si="2">F5+F6</f>
        <v>11.999999959999998</v>
      </c>
      <c r="G9" s="49">
        <f t="shared" si="2"/>
        <v>15.6</v>
      </c>
      <c r="H9" s="49">
        <f t="shared" si="2"/>
        <v>43.190179960000002</v>
      </c>
      <c r="I9" s="47" t="s">
        <v>30</v>
      </c>
    </row>
  </sheetData>
  <mergeCells count="12">
    <mergeCell ref="A6:A8"/>
    <mergeCell ref="C6:C8"/>
    <mergeCell ref="D6:D8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K21"/>
  <sheetViews>
    <sheetView view="pageBreakPreview" topLeftCell="A4" zoomScale="85" zoomScaleNormal="70" zoomScaleSheetLayoutView="85" workbookViewId="0">
      <selection activeCell="Q14" sqref="Q14:Q15"/>
    </sheetView>
  </sheetViews>
  <sheetFormatPr defaultColWidth="9" defaultRowHeight="15.75" outlineLevelCol="1"/>
  <cols>
    <col min="1" max="1" width="4.75" style="297" customWidth="1"/>
    <col min="2" max="2" width="64.625" style="136" customWidth="1"/>
    <col min="3" max="3" width="10.5" style="297" customWidth="1"/>
    <col min="4" max="4" width="18" style="136" customWidth="1"/>
    <col min="5" max="5" width="14.875" style="136" hidden="1" customWidth="1" outlineLevel="1"/>
    <col min="6" max="6" width="12.875" style="136" hidden="1" customWidth="1" outlineLevel="1"/>
    <col min="7" max="7" width="14.375" style="136" hidden="1" customWidth="1" outlineLevel="1"/>
    <col min="8" max="8" width="13" style="136" customWidth="1" collapsed="1"/>
    <col min="9" max="9" width="12" style="136" customWidth="1"/>
    <col min="10" max="10" width="14" style="136" customWidth="1"/>
    <col min="11" max="11" width="19.875" style="136" customWidth="1"/>
    <col min="12" max="16384" width="9" style="136"/>
  </cols>
  <sheetData>
    <row r="1" spans="1:11" ht="81" hidden="1" customHeight="1">
      <c r="G1" s="426"/>
      <c r="H1" s="426"/>
      <c r="I1" s="426"/>
    </row>
    <row r="2" spans="1:11" hidden="1"/>
    <row r="3" spans="1:11" hidden="1"/>
    <row r="4" spans="1:11" ht="111" customHeight="1">
      <c r="A4" s="2"/>
      <c r="B4" s="1"/>
      <c r="C4" s="2"/>
      <c r="D4" s="1"/>
      <c r="E4" s="1"/>
      <c r="F4" s="1"/>
      <c r="G4" s="425" t="s">
        <v>190</v>
      </c>
      <c r="H4" s="425"/>
      <c r="I4" s="425"/>
      <c r="J4" s="425"/>
    </row>
    <row r="5" spans="1:11" ht="18.75">
      <c r="A5" s="321"/>
      <c r="B5" s="1"/>
      <c r="C5" s="2"/>
      <c r="D5" s="1"/>
      <c r="E5" s="1"/>
      <c r="F5" s="1"/>
      <c r="G5" s="1"/>
      <c r="H5" s="1"/>
      <c r="I5" s="1"/>
      <c r="J5" s="1"/>
    </row>
    <row r="6" spans="1:11" ht="18.75">
      <c r="A6" s="321"/>
      <c r="B6" s="1"/>
      <c r="C6" s="2"/>
      <c r="D6" s="1"/>
      <c r="E6" s="1"/>
      <c r="F6" s="1"/>
      <c r="G6" s="1"/>
      <c r="H6" s="1"/>
      <c r="I6" s="1"/>
      <c r="J6" s="1"/>
    </row>
    <row r="7" spans="1:11" ht="18.75">
      <c r="A7" s="430" t="s">
        <v>1</v>
      </c>
      <c r="B7" s="430"/>
      <c r="C7" s="430"/>
      <c r="D7" s="430"/>
      <c r="E7" s="430"/>
      <c r="F7" s="430"/>
      <c r="G7" s="430"/>
      <c r="H7" s="430"/>
      <c r="I7" s="430"/>
      <c r="J7" s="430"/>
    </row>
    <row r="8" spans="1:11" ht="18.75" customHeight="1">
      <c r="A8" s="435" t="s">
        <v>92</v>
      </c>
      <c r="B8" s="435"/>
      <c r="C8" s="435"/>
      <c r="D8" s="435"/>
      <c r="E8" s="435"/>
      <c r="F8" s="435"/>
      <c r="G8" s="435"/>
      <c r="H8" s="435"/>
      <c r="I8" s="435"/>
      <c r="J8" s="435"/>
    </row>
    <row r="9" spans="1:11" ht="36" customHeight="1">
      <c r="A9" s="435" t="s">
        <v>91</v>
      </c>
      <c r="B9" s="435"/>
      <c r="C9" s="435"/>
      <c r="D9" s="435"/>
      <c r="E9" s="435"/>
      <c r="F9" s="435"/>
      <c r="G9" s="435"/>
      <c r="H9" s="435"/>
      <c r="I9" s="435"/>
      <c r="J9" s="435"/>
    </row>
    <row r="10" spans="1:11" ht="13.5" customHeight="1">
      <c r="A10" s="321"/>
      <c r="B10" s="1"/>
      <c r="C10" s="2"/>
      <c r="D10" s="1"/>
      <c r="E10" s="1"/>
      <c r="F10" s="1"/>
      <c r="G10" s="1"/>
      <c r="H10" s="1"/>
      <c r="I10" s="1"/>
      <c r="J10" s="1"/>
    </row>
    <row r="11" spans="1:11" ht="15.75" customHeight="1">
      <c r="A11" s="421" t="s">
        <v>19</v>
      </c>
      <c r="B11" s="421" t="s">
        <v>42</v>
      </c>
      <c r="C11" s="421" t="s">
        <v>2</v>
      </c>
      <c r="D11" s="421" t="s">
        <v>43</v>
      </c>
      <c r="E11" s="320"/>
      <c r="F11" s="421" t="s">
        <v>44</v>
      </c>
      <c r="G11" s="421"/>
      <c r="H11" s="421"/>
      <c r="I11" s="421"/>
      <c r="J11" s="421"/>
    </row>
    <row r="12" spans="1:11">
      <c r="A12" s="421"/>
      <c r="B12" s="421"/>
      <c r="C12" s="421"/>
      <c r="D12" s="421"/>
      <c r="E12" s="320">
        <v>2022</v>
      </c>
      <c r="F12" s="194">
        <v>2023</v>
      </c>
      <c r="G12" s="194">
        <f>F12+1</f>
        <v>2024</v>
      </c>
      <c r="H12" s="194">
        <f t="shared" ref="H12:I12" si="0">G12+1</f>
        <v>2025</v>
      </c>
      <c r="I12" s="194">
        <f t="shared" si="0"/>
        <v>2026</v>
      </c>
      <c r="J12" s="194">
        <v>2027</v>
      </c>
    </row>
    <row r="13" spans="1:11">
      <c r="A13" s="320">
        <v>1</v>
      </c>
      <c r="B13" s="320">
        <v>2</v>
      </c>
      <c r="C13" s="320">
        <v>3</v>
      </c>
      <c r="D13" s="320">
        <v>4</v>
      </c>
      <c r="E13" s="320"/>
      <c r="F13" s="320">
        <v>5</v>
      </c>
      <c r="G13" s="320">
        <v>6</v>
      </c>
      <c r="H13" s="320">
        <v>5</v>
      </c>
      <c r="I13" s="320">
        <v>6</v>
      </c>
      <c r="J13" s="320">
        <v>7</v>
      </c>
    </row>
    <row r="14" spans="1:11" ht="36" customHeight="1">
      <c r="A14" s="434" t="str">
        <f>'пр к ПП1'!A13:O13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434"/>
      <c r="C14" s="434"/>
      <c r="D14" s="434"/>
      <c r="E14" s="434"/>
      <c r="F14" s="434"/>
      <c r="G14" s="434"/>
      <c r="H14" s="434"/>
      <c r="I14" s="434"/>
      <c r="J14" s="434"/>
    </row>
    <row r="15" spans="1:11" ht="27" customHeight="1">
      <c r="A15" s="434" t="str">
        <f>'пр к ПП1'!A14:O14</f>
        <v>Задача 1. Улучшение технического состояния существующей улично-дорожной сети и автомобильных дорог местного значения.</v>
      </c>
      <c r="B15" s="434"/>
      <c r="C15" s="434"/>
      <c r="D15" s="434"/>
      <c r="E15" s="434"/>
      <c r="F15" s="434"/>
      <c r="G15" s="434"/>
      <c r="H15" s="434"/>
      <c r="I15" s="434"/>
      <c r="J15" s="434"/>
    </row>
    <row r="16" spans="1:11" ht="31.5">
      <c r="A16" s="324" t="s">
        <v>3</v>
      </c>
      <c r="B16" s="323" t="s">
        <v>64</v>
      </c>
      <c r="C16" s="324" t="s">
        <v>65</v>
      </c>
      <c r="D16" s="324" t="s">
        <v>66</v>
      </c>
      <c r="E16" s="194">
        <v>3.53</v>
      </c>
      <c r="F16" s="349">
        <v>4.9400000000000004</v>
      </c>
      <c r="G16" s="349">
        <v>2.48</v>
      </c>
      <c r="H16" s="349">
        <v>3</v>
      </c>
      <c r="I16" s="349">
        <v>3.5</v>
      </c>
      <c r="J16" s="349">
        <v>3.5</v>
      </c>
      <c r="K16" s="433"/>
    </row>
    <row r="17" spans="1:11" ht="41.25" customHeight="1">
      <c r="A17" s="324" t="s">
        <v>79</v>
      </c>
      <c r="B17" s="323" t="s">
        <v>67</v>
      </c>
      <c r="C17" s="324" t="s">
        <v>65</v>
      </c>
      <c r="D17" s="324" t="s">
        <v>68</v>
      </c>
      <c r="E17" s="324">
        <v>288.5</v>
      </c>
      <c r="F17" s="319">
        <v>288.5</v>
      </c>
      <c r="G17" s="319">
        <v>288.5</v>
      </c>
      <c r="H17" s="319">
        <v>288.5</v>
      </c>
      <c r="I17" s="319">
        <v>288.5</v>
      </c>
      <c r="J17" s="319">
        <f>I17</f>
        <v>288.5</v>
      </c>
      <c r="K17" s="433"/>
    </row>
    <row r="18" spans="1:11" ht="31.5">
      <c r="A18" s="324" t="s">
        <v>81</v>
      </c>
      <c r="B18" s="323" t="s">
        <v>71</v>
      </c>
      <c r="C18" s="324" t="s">
        <v>69</v>
      </c>
      <c r="D18" s="324" t="s">
        <v>70</v>
      </c>
      <c r="E18" s="324">
        <v>1</v>
      </c>
      <c r="F18" s="201">
        <v>1</v>
      </c>
      <c r="G18" s="201">
        <v>1</v>
      </c>
      <c r="H18" s="201">
        <v>1</v>
      </c>
      <c r="I18" s="201">
        <f t="shared" ref="I18:J18" si="1">H18</f>
        <v>1</v>
      </c>
      <c r="J18" s="201">
        <f t="shared" si="1"/>
        <v>1</v>
      </c>
    </row>
    <row r="19" spans="1:11" ht="18.75">
      <c r="A19" s="138"/>
    </row>
    <row r="20" spans="1:11" ht="18.75">
      <c r="A20" s="138"/>
    </row>
    <row r="21" spans="1:11" ht="18.75">
      <c r="A21" s="138"/>
    </row>
  </sheetData>
  <mergeCells count="13">
    <mergeCell ref="A7:J7"/>
    <mergeCell ref="K16:K17"/>
    <mergeCell ref="G1:I1"/>
    <mergeCell ref="A11:A12"/>
    <mergeCell ref="B11:B12"/>
    <mergeCell ref="C11:C12"/>
    <mergeCell ref="D11:D12"/>
    <mergeCell ref="F11:J11"/>
    <mergeCell ref="A14:J14"/>
    <mergeCell ref="A15:J15"/>
    <mergeCell ref="G4:J4"/>
    <mergeCell ref="A9:J9"/>
    <mergeCell ref="A8:J8"/>
  </mergeCells>
  <pageMargins left="0.78740157480314965" right="0.78740157480314965" top="1.1811023622047245" bottom="0.39370078740157483" header="0.31496062992125984" footer="0.31496062992125984"/>
  <pageSetup paperSize="9" scale="87" firstPageNumber="34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O47"/>
  <sheetViews>
    <sheetView view="pageBreakPreview" topLeftCell="C1" zoomScale="70" zoomScaleNormal="55" zoomScaleSheetLayoutView="70" workbookViewId="0">
      <selection activeCell="N1" sqref="N1:O1"/>
    </sheetView>
  </sheetViews>
  <sheetFormatPr defaultColWidth="9" defaultRowHeight="18.75" outlineLevelRow="1" outlineLevelCol="1"/>
  <cols>
    <col min="1" max="1" width="4.75" style="147" customWidth="1"/>
    <col min="2" max="2" width="49.625" style="148" customWidth="1"/>
    <col min="3" max="3" width="37.375" style="148" customWidth="1"/>
    <col min="4" max="5" width="7.375" style="148" customWidth="1"/>
    <col min="6" max="6" width="17.75" style="148" customWidth="1"/>
    <col min="7" max="7" width="5.75" style="148" customWidth="1"/>
    <col min="8" max="8" width="5.75" style="148" hidden="1" customWidth="1" outlineLevel="1"/>
    <col min="9" max="9" width="18.625" style="298" hidden="1" customWidth="1" outlineLevel="1"/>
    <col min="10" max="10" width="16.875" style="8" hidden="1" customWidth="1" outlineLevel="1"/>
    <col min="11" max="11" width="16.875" style="8" customWidth="1" collapsed="1"/>
    <col min="12" max="12" width="17.625" style="8" customWidth="1"/>
    <col min="13" max="13" width="16.875" style="8" bestFit="1" customWidth="1"/>
    <col min="14" max="14" width="20" style="8" customWidth="1"/>
    <col min="15" max="15" width="40" style="8" customWidth="1"/>
    <col min="16" max="16384" width="9" style="148"/>
  </cols>
  <sheetData>
    <row r="1" spans="1:15" ht="61.5" customHeight="1" outlineLevel="1">
      <c r="N1" s="448" t="s">
        <v>400</v>
      </c>
      <c r="O1" s="448"/>
    </row>
    <row r="2" spans="1:15" outlineLevel="1"/>
    <row r="3" spans="1:15" outlineLevel="1"/>
    <row r="4" spans="1:15" ht="82.5" customHeight="1">
      <c r="A4" s="132"/>
      <c r="B4" s="8"/>
      <c r="C4" s="8"/>
      <c r="D4" s="8"/>
      <c r="E4" s="8"/>
      <c r="F4" s="8"/>
      <c r="G4" s="8"/>
      <c r="H4" s="8"/>
      <c r="N4" s="449" t="s">
        <v>191</v>
      </c>
      <c r="O4" s="449"/>
    </row>
    <row r="5" spans="1:15">
      <c r="A5" s="132"/>
      <c r="B5" s="8"/>
      <c r="C5" s="8"/>
      <c r="D5" s="8"/>
      <c r="E5" s="8"/>
      <c r="F5" s="8"/>
      <c r="G5" s="8"/>
      <c r="H5" s="8"/>
    </row>
    <row r="6" spans="1:15">
      <c r="A6" s="132"/>
      <c r="B6" s="8"/>
      <c r="C6" s="8"/>
      <c r="D6" s="8"/>
      <c r="E6" s="8"/>
      <c r="F6" s="8"/>
      <c r="G6" s="8"/>
      <c r="H6" s="8"/>
    </row>
    <row r="7" spans="1:15">
      <c r="A7" s="452" t="s">
        <v>1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</row>
    <row r="8" spans="1:15">
      <c r="A8" s="452" t="s">
        <v>59</v>
      </c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</row>
    <row r="9" spans="1:15">
      <c r="A9" s="132"/>
      <c r="B9" s="8"/>
      <c r="C9" s="8"/>
      <c r="D9" s="8"/>
      <c r="E9" s="8"/>
      <c r="F9" s="8"/>
      <c r="G9" s="8"/>
      <c r="H9" s="8"/>
    </row>
    <row r="10" spans="1:15">
      <c r="A10" s="422" t="s">
        <v>19</v>
      </c>
      <c r="B10" s="422" t="s">
        <v>45</v>
      </c>
      <c r="C10" s="422" t="s">
        <v>209</v>
      </c>
      <c r="D10" s="422" t="s">
        <v>23</v>
      </c>
      <c r="E10" s="422"/>
      <c r="F10" s="422"/>
      <c r="G10" s="422"/>
      <c r="H10" s="246"/>
      <c r="I10" s="299"/>
      <c r="K10" s="436" t="s">
        <v>46</v>
      </c>
      <c r="L10" s="437"/>
      <c r="M10" s="437"/>
      <c r="N10" s="438"/>
      <c r="O10" s="422" t="s">
        <v>47</v>
      </c>
    </row>
    <row r="11" spans="1:15" ht="77.25" customHeight="1">
      <c r="A11" s="422"/>
      <c r="B11" s="422"/>
      <c r="C11" s="422"/>
      <c r="D11" s="129" t="s">
        <v>25</v>
      </c>
      <c r="E11" s="129" t="s">
        <v>26</v>
      </c>
      <c r="F11" s="129" t="s">
        <v>27</v>
      </c>
      <c r="G11" s="129" t="s">
        <v>28</v>
      </c>
      <c r="H11" s="246"/>
      <c r="I11" s="300">
        <v>2023</v>
      </c>
      <c r="J11" s="335">
        <v>2024</v>
      </c>
      <c r="K11" s="362">
        <v>2025</v>
      </c>
      <c r="L11" s="362">
        <f>K11+1</f>
        <v>2026</v>
      </c>
      <c r="M11" s="362">
        <f>L11+1</f>
        <v>2027</v>
      </c>
      <c r="N11" s="353" t="s">
        <v>48</v>
      </c>
      <c r="O11" s="422"/>
    </row>
    <row r="12" spans="1:15">
      <c r="A12" s="129">
        <v>1</v>
      </c>
      <c r="B12" s="129">
        <v>2</v>
      </c>
      <c r="C12" s="129">
        <v>3</v>
      </c>
      <c r="D12" s="129">
        <v>4</v>
      </c>
      <c r="E12" s="129">
        <v>5</v>
      </c>
      <c r="F12" s="129">
        <v>6</v>
      </c>
      <c r="G12" s="129">
        <v>7</v>
      </c>
      <c r="H12" s="246"/>
      <c r="I12" s="299"/>
      <c r="J12" s="334">
        <v>8</v>
      </c>
      <c r="K12" s="353">
        <v>8</v>
      </c>
      <c r="L12" s="353">
        <v>9</v>
      </c>
      <c r="M12" s="353">
        <v>10</v>
      </c>
      <c r="N12" s="353">
        <v>11</v>
      </c>
      <c r="O12" s="353">
        <v>12</v>
      </c>
    </row>
    <row r="13" spans="1:15" s="149" customFormat="1" ht="41.25" customHeight="1">
      <c r="A13" s="445" t="s">
        <v>156</v>
      </c>
      <c r="B13" s="445"/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</row>
    <row r="14" spans="1:15" s="149" customFormat="1" ht="19.5" customHeight="1">
      <c r="A14" s="445" t="s">
        <v>157</v>
      </c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</row>
    <row r="15" spans="1:15" s="8" customFormat="1" ht="31.5">
      <c r="A15" s="446" t="s">
        <v>3</v>
      </c>
      <c r="B15" s="439" t="s">
        <v>299</v>
      </c>
      <c r="C15" s="244" t="s">
        <v>62</v>
      </c>
      <c r="D15" s="246">
        <v>247</v>
      </c>
      <c r="E15" s="246" t="s">
        <v>58</v>
      </c>
      <c r="F15" s="57" t="s">
        <v>305</v>
      </c>
      <c r="G15" s="194">
        <v>540</v>
      </c>
      <c r="H15" s="194">
        <v>1</v>
      </c>
      <c r="I15" s="301">
        <f>4446.034+988.01+3161.09+988.01+1285.829+8991.047+9774.28</f>
        <v>29634.300000000003</v>
      </c>
      <c r="J15" s="113">
        <v>30563.848000000002</v>
      </c>
      <c r="K15" s="113">
        <v>41820.269999999997</v>
      </c>
      <c r="L15" s="113">
        <v>36934.300000000003</v>
      </c>
      <c r="M15" s="113">
        <f>L15</f>
        <v>36934.300000000003</v>
      </c>
      <c r="N15" s="123">
        <f t="shared" ref="N15:N23" si="0">SUM(K15:M15)</f>
        <v>115688.87000000001</v>
      </c>
      <c r="O15" s="439" t="s">
        <v>127</v>
      </c>
    </row>
    <row r="16" spans="1:15" s="8" customFormat="1">
      <c r="A16" s="447"/>
      <c r="B16" s="441"/>
      <c r="C16" s="115" t="s">
        <v>246</v>
      </c>
      <c r="D16" s="54" t="s">
        <v>30</v>
      </c>
      <c r="E16" s="54" t="s">
        <v>30</v>
      </c>
      <c r="F16" s="54" t="s">
        <v>30</v>
      </c>
      <c r="G16" s="50" t="s">
        <v>30</v>
      </c>
      <c r="H16" s="50"/>
      <c r="I16" s="302">
        <f>SUM(I15)</f>
        <v>29634.300000000003</v>
      </c>
      <c r="J16" s="55">
        <f>J15</f>
        <v>30563.848000000002</v>
      </c>
      <c r="K16" s="55">
        <f>SUM(K15)</f>
        <v>41820.269999999997</v>
      </c>
      <c r="L16" s="55">
        <f>L15</f>
        <v>36934.300000000003</v>
      </c>
      <c r="M16" s="55">
        <f>M15</f>
        <v>36934.300000000003</v>
      </c>
      <c r="N16" s="55">
        <f t="shared" si="0"/>
        <v>115688.87000000001</v>
      </c>
      <c r="O16" s="440"/>
    </row>
    <row r="17" spans="1:15" s="8" customFormat="1" ht="31.5">
      <c r="A17" s="446" t="s">
        <v>79</v>
      </c>
      <c r="B17" s="439" t="s">
        <v>300</v>
      </c>
      <c r="C17" s="244" t="s">
        <v>62</v>
      </c>
      <c r="D17" s="246">
        <v>247</v>
      </c>
      <c r="E17" s="246" t="s">
        <v>58</v>
      </c>
      <c r="F17" s="57" t="s">
        <v>306</v>
      </c>
      <c r="G17" s="194">
        <v>540</v>
      </c>
      <c r="H17" s="194">
        <v>1</v>
      </c>
      <c r="I17" s="303">
        <f>1815.684+907.842+2525.11+907.842+6657.508+9406.04513</f>
        <v>22220.031130000003</v>
      </c>
      <c r="J17" s="113">
        <v>17982.192999999999</v>
      </c>
      <c r="K17" s="113">
        <v>18306.596000000001</v>
      </c>
      <c r="L17" s="113">
        <v>18630.7</v>
      </c>
      <c r="M17" s="113">
        <f>L17</f>
        <v>18630.7</v>
      </c>
      <c r="N17" s="123">
        <f t="shared" si="0"/>
        <v>55567.995999999999</v>
      </c>
      <c r="O17" s="440"/>
    </row>
    <row r="18" spans="1:15" s="8" customFormat="1">
      <c r="A18" s="447"/>
      <c r="B18" s="441"/>
      <c r="C18" s="115" t="s">
        <v>246</v>
      </c>
      <c r="D18" s="54" t="s">
        <v>30</v>
      </c>
      <c r="E18" s="54" t="s">
        <v>30</v>
      </c>
      <c r="F18" s="54" t="s">
        <v>30</v>
      </c>
      <c r="G18" s="54" t="s">
        <v>30</v>
      </c>
      <c r="H18" s="54"/>
      <c r="I18" s="304">
        <f>SUM(I17)</f>
        <v>22220.031130000003</v>
      </c>
      <c r="J18" s="55">
        <f>J17</f>
        <v>17982.192999999999</v>
      </c>
      <c r="K18" s="55">
        <f>K17</f>
        <v>18306.596000000001</v>
      </c>
      <c r="L18" s="55">
        <f>L17</f>
        <v>18630.7</v>
      </c>
      <c r="M18" s="55">
        <f>M17</f>
        <v>18630.7</v>
      </c>
      <c r="N18" s="55">
        <f t="shared" si="0"/>
        <v>55567.995999999999</v>
      </c>
      <c r="O18" s="441"/>
    </row>
    <row r="19" spans="1:15" s="8" customFormat="1" ht="31.5">
      <c r="A19" s="442" t="s">
        <v>81</v>
      </c>
      <c r="B19" s="439" t="s">
        <v>102</v>
      </c>
      <c r="C19" s="244" t="s">
        <v>90</v>
      </c>
      <c r="D19" s="246">
        <v>242</v>
      </c>
      <c r="E19" s="422" t="s">
        <v>58</v>
      </c>
      <c r="F19" s="450" t="s">
        <v>248</v>
      </c>
      <c r="G19" s="422">
        <v>244</v>
      </c>
      <c r="H19" s="246">
        <v>1</v>
      </c>
      <c r="I19" s="299">
        <v>8254.15</v>
      </c>
      <c r="J19" s="113">
        <v>8254.15</v>
      </c>
      <c r="K19" s="113">
        <v>7670.0780000000004</v>
      </c>
      <c r="L19" s="113">
        <v>1650.83</v>
      </c>
      <c r="M19" s="113">
        <v>1650.83</v>
      </c>
      <c r="N19" s="123">
        <f t="shared" si="0"/>
        <v>10971.737999999999</v>
      </c>
      <c r="O19" s="439" t="s">
        <v>127</v>
      </c>
    </row>
    <row r="20" spans="1:15" s="8" customFormat="1" ht="31.5">
      <c r="A20" s="443"/>
      <c r="B20" s="440"/>
      <c r="C20" s="244" t="s">
        <v>62</v>
      </c>
      <c r="D20" s="246">
        <v>247</v>
      </c>
      <c r="E20" s="422"/>
      <c r="F20" s="451"/>
      <c r="G20" s="422"/>
      <c r="H20" s="246">
        <v>1</v>
      </c>
      <c r="I20" s="299">
        <v>5000</v>
      </c>
      <c r="J20" s="113">
        <v>5200</v>
      </c>
      <c r="K20" s="113">
        <v>5200</v>
      </c>
      <c r="L20" s="113">
        <v>5200</v>
      </c>
      <c r="M20" s="113">
        <v>5200</v>
      </c>
      <c r="N20" s="123">
        <f t="shared" si="0"/>
        <v>15600</v>
      </c>
      <c r="O20" s="440"/>
    </row>
    <row r="21" spans="1:15" s="8" customFormat="1">
      <c r="A21" s="444"/>
      <c r="B21" s="441"/>
      <c r="C21" s="115" t="s">
        <v>246</v>
      </c>
      <c r="D21" s="54" t="s">
        <v>30</v>
      </c>
      <c r="E21" s="54" t="s">
        <v>30</v>
      </c>
      <c r="F21" s="54" t="s">
        <v>30</v>
      </c>
      <c r="G21" s="54" t="s">
        <v>30</v>
      </c>
      <c r="H21" s="54"/>
      <c r="I21" s="304">
        <f>SUM(I19:I20)</f>
        <v>13254.15</v>
      </c>
      <c r="J21" s="363">
        <f>J19+J20</f>
        <v>13454.15</v>
      </c>
      <c r="K21" s="55">
        <f>K19+K20</f>
        <v>12870.078000000001</v>
      </c>
      <c r="L21" s="55">
        <f>L19+L20</f>
        <v>6850.83</v>
      </c>
      <c r="M21" s="55">
        <f>M19+M20</f>
        <v>6850.83</v>
      </c>
      <c r="N21" s="55">
        <f t="shared" si="0"/>
        <v>26571.738000000005</v>
      </c>
      <c r="O21" s="441"/>
    </row>
    <row r="22" spans="1:15" s="10" customFormat="1" ht="31.5">
      <c r="A22" s="442" t="s">
        <v>82</v>
      </c>
      <c r="B22" s="439" t="s">
        <v>103</v>
      </c>
      <c r="C22" s="244" t="s">
        <v>62</v>
      </c>
      <c r="D22" s="246">
        <v>247</v>
      </c>
      <c r="E22" s="246" t="s">
        <v>58</v>
      </c>
      <c r="F22" s="57" t="s">
        <v>249</v>
      </c>
      <c r="G22" s="246">
        <v>540</v>
      </c>
      <c r="H22" s="246">
        <v>1</v>
      </c>
      <c r="I22" s="299">
        <v>2638.7550000000001</v>
      </c>
      <c r="J22" s="113">
        <v>2638.7550000000001</v>
      </c>
      <c r="K22" s="113">
        <v>3022.09</v>
      </c>
      <c r="L22" s="113">
        <v>2638.7550000000001</v>
      </c>
      <c r="M22" s="113">
        <v>2638.7550000000001</v>
      </c>
      <c r="N22" s="123">
        <f t="shared" si="0"/>
        <v>8299.6</v>
      </c>
      <c r="O22" s="439" t="s">
        <v>126</v>
      </c>
    </row>
    <row r="23" spans="1:15" s="10" customFormat="1">
      <c r="A23" s="444"/>
      <c r="B23" s="441"/>
      <c r="C23" s="115" t="s">
        <v>246</v>
      </c>
      <c r="D23" s="54" t="s">
        <v>30</v>
      </c>
      <c r="E23" s="54" t="s">
        <v>30</v>
      </c>
      <c r="F23" s="54" t="s">
        <v>30</v>
      </c>
      <c r="G23" s="54" t="s">
        <v>30</v>
      </c>
      <c r="H23" s="54"/>
      <c r="I23" s="304">
        <f>SUM(I22)</f>
        <v>2638.7550000000001</v>
      </c>
      <c r="J23" s="55">
        <f>J22</f>
        <v>2638.7550000000001</v>
      </c>
      <c r="K23" s="55">
        <f>K22</f>
        <v>3022.09</v>
      </c>
      <c r="L23" s="55">
        <f>L22</f>
        <v>2638.7550000000001</v>
      </c>
      <c r="M23" s="55">
        <f>M22</f>
        <v>2638.7550000000001</v>
      </c>
      <c r="N23" s="55">
        <f t="shared" si="0"/>
        <v>8299.6</v>
      </c>
      <c r="O23" s="441"/>
    </row>
    <row r="24" spans="1:15" s="10" customFormat="1">
      <c r="A24" s="442" t="s">
        <v>227</v>
      </c>
      <c r="B24" s="439" t="s">
        <v>254</v>
      </c>
      <c r="C24" s="439" t="s">
        <v>62</v>
      </c>
      <c r="D24" s="442">
        <v>247</v>
      </c>
      <c r="E24" s="442" t="s">
        <v>58</v>
      </c>
      <c r="F24" s="57" t="s">
        <v>255</v>
      </c>
      <c r="G24" s="442">
        <v>244</v>
      </c>
      <c r="H24" s="247"/>
      <c r="I24" s="305"/>
      <c r="J24" s="124" t="s">
        <v>294</v>
      </c>
      <c r="K24" s="124"/>
      <c r="L24" s="124">
        <v>0</v>
      </c>
      <c r="M24" s="124">
        <v>0</v>
      </c>
      <c r="N24" s="124">
        <f t="shared" ref="N24:N27" si="1">SUM(J24:M24)</f>
        <v>0</v>
      </c>
      <c r="O24" s="439" t="s">
        <v>127</v>
      </c>
    </row>
    <row r="25" spans="1:15" s="10" customFormat="1">
      <c r="A25" s="443"/>
      <c r="B25" s="440"/>
      <c r="C25" s="440"/>
      <c r="D25" s="443"/>
      <c r="E25" s="443"/>
      <c r="F25" s="57" t="s">
        <v>256</v>
      </c>
      <c r="G25" s="443"/>
      <c r="H25" s="249"/>
      <c r="I25" s="306"/>
      <c r="J25" s="124" t="s">
        <v>294</v>
      </c>
      <c r="K25" s="124"/>
      <c r="L25" s="124">
        <v>0</v>
      </c>
      <c r="M25" s="124">
        <v>0</v>
      </c>
      <c r="N25" s="124">
        <f t="shared" si="1"/>
        <v>0</v>
      </c>
      <c r="O25" s="440"/>
    </row>
    <row r="26" spans="1:15" s="10" customFormat="1">
      <c r="A26" s="443"/>
      <c r="B26" s="440"/>
      <c r="C26" s="440"/>
      <c r="D26" s="443"/>
      <c r="E26" s="443"/>
      <c r="F26" s="57" t="s">
        <v>296</v>
      </c>
      <c r="G26" s="443"/>
      <c r="H26" s="249">
        <v>10</v>
      </c>
      <c r="I26" s="306"/>
      <c r="J26" s="124">
        <v>0</v>
      </c>
      <c r="K26" s="124"/>
      <c r="L26" s="124">
        <v>0</v>
      </c>
      <c r="M26" s="124">
        <v>0</v>
      </c>
      <c r="N26" s="124">
        <f t="shared" si="1"/>
        <v>0</v>
      </c>
      <c r="O26" s="440"/>
    </row>
    <row r="27" spans="1:15" s="10" customFormat="1">
      <c r="A27" s="443"/>
      <c r="B27" s="440"/>
      <c r="C27" s="441"/>
      <c r="D27" s="444"/>
      <c r="E27" s="444"/>
      <c r="F27" s="57" t="s">
        <v>295</v>
      </c>
      <c r="G27" s="444"/>
      <c r="H27" s="248">
        <v>1</v>
      </c>
      <c r="I27" s="307"/>
      <c r="J27" s="124">
        <v>0</v>
      </c>
      <c r="K27" s="124"/>
      <c r="L27" s="124"/>
      <c r="M27" s="124"/>
      <c r="N27" s="124">
        <f t="shared" si="1"/>
        <v>0</v>
      </c>
      <c r="O27" s="440"/>
    </row>
    <row r="28" spans="1:15" s="10" customFormat="1">
      <c r="A28" s="444"/>
      <c r="B28" s="441"/>
      <c r="C28" s="115" t="s">
        <v>246</v>
      </c>
      <c r="D28" s="54" t="s">
        <v>30</v>
      </c>
      <c r="E28" s="54" t="s">
        <v>30</v>
      </c>
      <c r="F28" s="54" t="s">
        <v>30</v>
      </c>
      <c r="G28" s="54" t="s">
        <v>30</v>
      </c>
      <c r="H28" s="54"/>
      <c r="I28" s="304"/>
      <c r="J28" s="55">
        <f>SUM(J24:J27)</f>
        <v>0</v>
      </c>
      <c r="K28" s="55"/>
      <c r="L28" s="55">
        <f t="shared" ref="L28:M28" si="2">SUM(L24:L25)</f>
        <v>0</v>
      </c>
      <c r="M28" s="55">
        <f t="shared" si="2"/>
        <v>0</v>
      </c>
      <c r="N28" s="55">
        <f>SUM(N24:N27)</f>
        <v>0</v>
      </c>
      <c r="O28" s="441"/>
    </row>
    <row r="29" spans="1:15" s="10" customFormat="1" ht="31.5">
      <c r="A29" s="442" t="s">
        <v>245</v>
      </c>
      <c r="B29" s="439" t="s">
        <v>253</v>
      </c>
      <c r="C29" s="244" t="s">
        <v>62</v>
      </c>
      <c r="D29" s="246">
        <v>247</v>
      </c>
      <c r="E29" s="246" t="s">
        <v>58</v>
      </c>
      <c r="F29" s="57" t="s">
        <v>250</v>
      </c>
      <c r="G29" s="246">
        <v>244</v>
      </c>
      <c r="H29" s="246">
        <v>1</v>
      </c>
      <c r="I29" s="299">
        <v>26072.14</v>
      </c>
      <c r="J29" s="113">
        <v>42216.627999999997</v>
      </c>
      <c r="K29" s="113">
        <v>39437.347999999998</v>
      </c>
      <c r="L29" s="113">
        <v>38050</v>
      </c>
      <c r="M29" s="113">
        <f>L29</f>
        <v>38050</v>
      </c>
      <c r="N29" s="123">
        <f>SUM(K29:M29)</f>
        <v>115537.348</v>
      </c>
      <c r="O29" s="439" t="s">
        <v>247</v>
      </c>
    </row>
    <row r="30" spans="1:15" s="10" customFormat="1">
      <c r="A30" s="444"/>
      <c r="B30" s="441"/>
      <c r="C30" s="115" t="s">
        <v>246</v>
      </c>
      <c r="D30" s="54" t="s">
        <v>30</v>
      </c>
      <c r="E30" s="54" t="s">
        <v>30</v>
      </c>
      <c r="F30" s="54" t="s">
        <v>30</v>
      </c>
      <c r="G30" s="54" t="s">
        <v>30</v>
      </c>
      <c r="H30" s="54"/>
      <c r="I30" s="304">
        <f>SUM(I29)</f>
        <v>26072.14</v>
      </c>
      <c r="J30" s="55">
        <f>J29</f>
        <v>42216.627999999997</v>
      </c>
      <c r="K30" s="55">
        <f>K29</f>
        <v>39437.347999999998</v>
      </c>
      <c r="L30" s="55">
        <f>L29</f>
        <v>38050</v>
      </c>
      <c r="M30" s="55">
        <f>M29</f>
        <v>38050</v>
      </c>
      <c r="N30" s="55">
        <f>SUM(K30:M30)</f>
        <v>115537.348</v>
      </c>
      <c r="O30" s="441"/>
    </row>
    <row r="31" spans="1:15" s="10" customFormat="1" ht="31.5" outlineLevel="1">
      <c r="A31" s="442" t="s">
        <v>252</v>
      </c>
      <c r="B31" s="439" t="s">
        <v>251</v>
      </c>
      <c r="C31" s="244" t="s">
        <v>62</v>
      </c>
      <c r="D31" s="246">
        <v>247</v>
      </c>
      <c r="E31" s="246" t="s">
        <v>58</v>
      </c>
      <c r="F31" s="116"/>
      <c r="G31" s="246">
        <v>244</v>
      </c>
      <c r="H31" s="246"/>
      <c r="I31" s="299"/>
      <c r="J31" s="32">
        <v>0</v>
      </c>
      <c r="K31" s="32"/>
      <c r="L31" s="32">
        <v>0</v>
      </c>
      <c r="M31" s="32">
        <v>0</v>
      </c>
      <c r="N31" s="33">
        <f t="shared" ref="N31:N32" si="3">SUM(J31:M31)</f>
        <v>0</v>
      </c>
      <c r="O31" s="439" t="s">
        <v>355</v>
      </c>
    </row>
    <row r="32" spans="1:15" s="10" customFormat="1" outlineLevel="1">
      <c r="A32" s="444"/>
      <c r="B32" s="441"/>
      <c r="C32" s="115" t="s">
        <v>246</v>
      </c>
      <c r="D32" s="54" t="s">
        <v>30</v>
      </c>
      <c r="E32" s="54" t="s">
        <v>30</v>
      </c>
      <c r="F32" s="54" t="s">
        <v>30</v>
      </c>
      <c r="G32" s="54" t="s">
        <v>30</v>
      </c>
      <c r="H32" s="54"/>
      <c r="I32" s="304"/>
      <c r="J32" s="55">
        <f t="shared" ref="J32:M32" si="4">J31</f>
        <v>0</v>
      </c>
      <c r="K32" s="55"/>
      <c r="L32" s="55">
        <f t="shared" si="4"/>
        <v>0</v>
      </c>
      <c r="M32" s="55">
        <f t="shared" si="4"/>
        <v>0</v>
      </c>
      <c r="N32" s="55">
        <f t="shared" si="3"/>
        <v>0</v>
      </c>
      <c r="O32" s="441"/>
    </row>
    <row r="33" spans="1:15" s="10" customFormat="1" ht="31.5" outlineLevel="1">
      <c r="A33" s="248" t="s">
        <v>274</v>
      </c>
      <c r="B33" s="258" t="s">
        <v>279</v>
      </c>
      <c r="C33" s="182" t="s">
        <v>62</v>
      </c>
      <c r="D33" s="116" t="s">
        <v>273</v>
      </c>
      <c r="E33" s="116" t="s">
        <v>58</v>
      </c>
      <c r="F33" s="116" t="s">
        <v>280</v>
      </c>
      <c r="G33" s="116" t="s">
        <v>271</v>
      </c>
      <c r="H33" s="116" t="s">
        <v>337</v>
      </c>
      <c r="I33" s="303">
        <v>1600</v>
      </c>
      <c r="J33" s="113">
        <v>0</v>
      </c>
      <c r="K33" s="113"/>
      <c r="L33" s="113">
        <v>0</v>
      </c>
      <c r="M33" s="113">
        <v>0</v>
      </c>
      <c r="N33" s="113">
        <f>J33+L33+M33</f>
        <v>0</v>
      </c>
      <c r="O33" s="439" t="s">
        <v>356</v>
      </c>
    </row>
    <row r="34" spans="1:15" s="151" customFormat="1" outlineLevel="1">
      <c r="A34" s="130"/>
      <c r="B34" s="131"/>
      <c r="C34" s="54" t="s">
        <v>246</v>
      </c>
      <c r="D34" s="54" t="s">
        <v>30</v>
      </c>
      <c r="E34" s="54" t="s">
        <v>30</v>
      </c>
      <c r="F34" s="54" t="s">
        <v>30</v>
      </c>
      <c r="G34" s="54" t="s">
        <v>30</v>
      </c>
      <c r="H34" s="54"/>
      <c r="I34" s="304">
        <f>SUM(I33)</f>
        <v>1600</v>
      </c>
      <c r="J34" s="55">
        <f>J33</f>
        <v>0</v>
      </c>
      <c r="K34" s="55"/>
      <c r="L34" s="55">
        <f>L33</f>
        <v>0</v>
      </c>
      <c r="M34" s="55">
        <f>M33</f>
        <v>0</v>
      </c>
      <c r="N34" s="55">
        <f>SUM(J34:M34)</f>
        <v>0</v>
      </c>
      <c r="O34" s="441"/>
    </row>
    <row r="35" spans="1:15" s="153" customFormat="1">
      <c r="A35" s="51"/>
      <c r="B35" s="52" t="s">
        <v>113</v>
      </c>
      <c r="C35" s="51" t="s">
        <v>30</v>
      </c>
      <c r="D35" s="51" t="s">
        <v>30</v>
      </c>
      <c r="E35" s="51" t="s">
        <v>30</v>
      </c>
      <c r="F35" s="51" t="s">
        <v>30</v>
      </c>
      <c r="G35" s="51" t="s">
        <v>30</v>
      </c>
      <c r="H35" s="51"/>
      <c r="I35" s="308">
        <f>I16+I18+I21+I23+I30+I34</f>
        <v>95419.376130000004</v>
      </c>
      <c r="J35" s="53">
        <f>J16+J18+J21+J23+J28+J30+J32+J34</f>
        <v>106855.57399999999</v>
      </c>
      <c r="K35" s="371">
        <f>K16+K21+K23+K30+K34+K18</f>
        <v>115456.382</v>
      </c>
      <c r="L35" s="371">
        <f t="shared" ref="L35:N35" si="5">L16+L21+L23+L30+L34+L18</f>
        <v>103104.58500000001</v>
      </c>
      <c r="M35" s="371">
        <f t="shared" si="5"/>
        <v>103104.58500000001</v>
      </c>
      <c r="N35" s="371">
        <f t="shared" si="5"/>
        <v>321665.55199999997</v>
      </c>
      <c r="O35" s="51" t="s">
        <v>30</v>
      </c>
    </row>
    <row r="36" spans="1:15" s="151" customFormat="1">
      <c r="A36" s="154"/>
      <c r="I36" s="309"/>
      <c r="J36" s="10"/>
      <c r="K36" s="10"/>
      <c r="L36" s="10"/>
      <c r="M36" s="10"/>
      <c r="N36" s="10"/>
      <c r="O36" s="10"/>
    </row>
    <row r="37" spans="1:15">
      <c r="J37" s="364">
        <f>J16+J21+J23+J30</f>
        <v>88873.380999999994</v>
      </c>
      <c r="K37" s="364"/>
    </row>
    <row r="38" spans="1:15">
      <c r="J38" s="364">
        <f>60677.285-J35</f>
        <v>-46178.28899999999</v>
      </c>
      <c r="K38" s="364"/>
    </row>
    <row r="40" spans="1:15">
      <c r="J40" s="14"/>
      <c r="K40" s="14"/>
      <c r="L40" s="14"/>
      <c r="M40" s="14"/>
      <c r="N40" s="14"/>
    </row>
    <row r="41" spans="1:15">
      <c r="J41" s="14"/>
      <c r="K41" s="14"/>
      <c r="L41" s="14"/>
      <c r="M41" s="14"/>
      <c r="N41" s="14"/>
    </row>
    <row r="42" spans="1:15">
      <c r="J42" s="14"/>
      <c r="K42" s="14"/>
      <c r="L42" s="14"/>
      <c r="M42" s="14"/>
      <c r="N42" s="14"/>
    </row>
    <row r="43" spans="1:15">
      <c r="J43" s="14"/>
      <c r="K43" s="14"/>
      <c r="L43" s="14"/>
      <c r="M43" s="14"/>
      <c r="N43" s="14"/>
    </row>
    <row r="44" spans="1:15">
      <c r="J44" s="365"/>
      <c r="K44" s="365"/>
      <c r="L44" s="365"/>
      <c r="M44" s="365"/>
      <c r="N44" s="365"/>
    </row>
    <row r="45" spans="1:15">
      <c r="J45" s="14"/>
      <c r="K45" s="14"/>
      <c r="L45" s="14"/>
      <c r="M45" s="14"/>
      <c r="N45" s="14"/>
    </row>
    <row r="46" spans="1:15">
      <c r="J46" s="14"/>
      <c r="K46" s="14"/>
      <c r="L46" s="14"/>
      <c r="M46" s="14"/>
      <c r="N46" s="14"/>
    </row>
    <row r="47" spans="1:15">
      <c r="J47" s="14"/>
      <c r="K47" s="14"/>
      <c r="L47" s="14"/>
      <c r="M47" s="14"/>
      <c r="N47" s="14"/>
    </row>
  </sheetData>
  <mergeCells count="40">
    <mergeCell ref="O33:O34"/>
    <mergeCell ref="A31:A32"/>
    <mergeCell ref="B31:B32"/>
    <mergeCell ref="A29:A30"/>
    <mergeCell ref="B29:B30"/>
    <mergeCell ref="D24:D27"/>
    <mergeCell ref="E24:E27"/>
    <mergeCell ref="C24:C27"/>
    <mergeCell ref="O29:O30"/>
    <mergeCell ref="O31:O32"/>
    <mergeCell ref="A24:A28"/>
    <mergeCell ref="B24:B28"/>
    <mergeCell ref="O24:O28"/>
    <mergeCell ref="N1:O1"/>
    <mergeCell ref="N4:O4"/>
    <mergeCell ref="G19:G20"/>
    <mergeCell ref="E19:E20"/>
    <mergeCell ref="F19:F20"/>
    <mergeCell ref="A7:O7"/>
    <mergeCell ref="A8:O8"/>
    <mergeCell ref="A10:A11"/>
    <mergeCell ref="B10:B11"/>
    <mergeCell ref="C10:C11"/>
    <mergeCell ref="D10:G10"/>
    <mergeCell ref="O10:O11"/>
    <mergeCell ref="G24:G27"/>
    <mergeCell ref="K10:N10"/>
    <mergeCell ref="O19:O21"/>
    <mergeCell ref="O22:O23"/>
    <mergeCell ref="B19:B21"/>
    <mergeCell ref="A19:A21"/>
    <mergeCell ref="B22:B23"/>
    <mergeCell ref="A22:A23"/>
    <mergeCell ref="A14:O14"/>
    <mergeCell ref="A13:O13"/>
    <mergeCell ref="B15:B16"/>
    <mergeCell ref="A15:A16"/>
    <mergeCell ref="O15:O18"/>
    <mergeCell ref="B17:B18"/>
    <mergeCell ref="A17:A18"/>
  </mergeCells>
  <pageMargins left="0.78740157480314965" right="0.78740157480314965" top="1.1811023622047245" bottom="0.39370078740157483" header="0.31496062992125984" footer="0.31496062992125984"/>
  <pageSetup paperSize="9" scale="50" firstPageNumber="15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J35"/>
  <sheetViews>
    <sheetView view="pageBreakPreview" topLeftCell="A4" zoomScaleNormal="70" zoomScaleSheetLayoutView="100" workbookViewId="0">
      <selection activeCell="Q14" sqref="Q14:Q15"/>
    </sheetView>
  </sheetViews>
  <sheetFormatPr defaultColWidth="9" defaultRowHeight="15.75" outlineLevelRow="1" outlineLevelCol="1"/>
  <cols>
    <col min="1" max="1" width="5.375" style="135" customWidth="1"/>
    <col min="2" max="2" width="63.125" style="136" customWidth="1"/>
    <col min="3" max="3" width="12.75" style="135" customWidth="1"/>
    <col min="4" max="4" width="29.375" style="136" customWidth="1"/>
    <col min="5" max="5" width="13" style="287" hidden="1" customWidth="1" outlineLevel="1"/>
    <col min="6" max="7" width="13.875" style="136" hidden="1" customWidth="1" outlineLevel="1"/>
    <col min="8" max="8" width="12.25" style="136" customWidth="1" collapsed="1"/>
    <col min="9" max="10" width="12.25" style="136" customWidth="1"/>
    <col min="11" max="16384" width="9" style="136"/>
  </cols>
  <sheetData>
    <row r="1" spans="1:10" ht="81.75" hidden="1" customHeight="1" outlineLevel="1">
      <c r="F1" s="453" t="s">
        <v>311</v>
      </c>
      <c r="G1" s="453"/>
      <c r="H1" s="453"/>
      <c r="I1" s="453"/>
      <c r="J1" s="453"/>
    </row>
    <row r="2" spans="1:10" ht="18.75" hidden="1" outlineLevel="1">
      <c r="F2" s="171"/>
      <c r="G2" s="171"/>
      <c r="H2" s="171"/>
      <c r="I2" s="171"/>
      <c r="J2" s="171"/>
    </row>
    <row r="3" spans="1:10" ht="18.75" hidden="1" outlineLevel="1">
      <c r="F3" s="171"/>
      <c r="G3" s="171"/>
      <c r="H3" s="171"/>
      <c r="I3" s="171"/>
      <c r="J3" s="171"/>
    </row>
    <row r="4" spans="1:10" s="1" customFormat="1" ht="100.5" customHeight="1" collapsed="1">
      <c r="A4" s="2"/>
      <c r="C4" s="2"/>
      <c r="E4" s="287"/>
      <c r="F4" s="425" t="s">
        <v>192</v>
      </c>
      <c r="G4" s="425"/>
      <c r="H4" s="425"/>
      <c r="I4" s="425"/>
      <c r="J4" s="425"/>
    </row>
    <row r="5" spans="1:10" s="1" customFormat="1" ht="18.75">
      <c r="A5" s="189"/>
      <c r="C5" s="2"/>
      <c r="E5" s="287"/>
      <c r="F5" s="136"/>
      <c r="G5" s="136"/>
    </row>
    <row r="6" spans="1:10" s="1" customFormat="1" ht="18.75">
      <c r="A6" s="189"/>
      <c r="C6" s="2"/>
      <c r="E6" s="287"/>
      <c r="F6" s="136"/>
      <c r="G6" s="136"/>
    </row>
    <row r="7" spans="1:10" s="1" customFormat="1" ht="18.75">
      <c r="A7" s="430" t="s">
        <v>1</v>
      </c>
      <c r="B7" s="430"/>
      <c r="C7" s="430"/>
      <c r="D7" s="430"/>
      <c r="E7" s="430"/>
      <c r="F7" s="430"/>
      <c r="G7" s="430"/>
      <c r="H7" s="430"/>
      <c r="I7" s="430"/>
      <c r="J7" s="430"/>
    </row>
    <row r="8" spans="1:10" s="1" customFormat="1" ht="48" customHeight="1">
      <c r="A8" s="435" t="s">
        <v>72</v>
      </c>
      <c r="B8" s="430"/>
      <c r="C8" s="430"/>
      <c r="D8" s="430"/>
      <c r="E8" s="430"/>
      <c r="F8" s="430"/>
      <c r="G8" s="430"/>
      <c r="H8" s="430"/>
      <c r="I8" s="430"/>
      <c r="J8" s="430"/>
    </row>
    <row r="9" spans="1:10" s="1" customFormat="1" ht="17.25">
      <c r="A9" s="220"/>
      <c r="B9" s="221"/>
      <c r="C9" s="222"/>
      <c r="D9" s="221"/>
      <c r="E9" s="288"/>
      <c r="F9" s="338"/>
      <c r="G9" s="338"/>
      <c r="H9" s="221"/>
      <c r="I9" s="221"/>
      <c r="J9" s="221"/>
    </row>
    <row r="10" spans="1:10" s="1" customFormat="1" ht="17.25" customHeight="1">
      <c r="A10" s="460" t="s">
        <v>19</v>
      </c>
      <c r="B10" s="460" t="s">
        <v>42</v>
      </c>
      <c r="C10" s="460" t="s">
        <v>2</v>
      </c>
      <c r="D10" s="460" t="s">
        <v>43</v>
      </c>
      <c r="E10" s="464" t="s">
        <v>44</v>
      </c>
      <c r="F10" s="465"/>
      <c r="G10" s="465"/>
      <c r="H10" s="465"/>
      <c r="I10" s="465"/>
      <c r="J10" s="466"/>
    </row>
    <row r="11" spans="1:10" s="1" customFormat="1" ht="17.25">
      <c r="A11" s="460"/>
      <c r="B11" s="460"/>
      <c r="C11" s="460"/>
      <c r="D11" s="460"/>
      <c r="E11" s="289">
        <v>2022</v>
      </c>
      <c r="F11" s="336">
        <v>2023</v>
      </c>
      <c r="G11" s="336">
        <v>2024</v>
      </c>
      <c r="H11" s="250">
        <v>2025</v>
      </c>
      <c r="I11" s="250">
        <f>H11+1</f>
        <v>2026</v>
      </c>
      <c r="J11" s="250">
        <f>I11+1</f>
        <v>2027</v>
      </c>
    </row>
    <row r="12" spans="1:10" s="1" customFormat="1" ht="17.25">
      <c r="A12" s="250">
        <v>1</v>
      </c>
      <c r="B12" s="250">
        <v>2</v>
      </c>
      <c r="C12" s="250">
        <v>3</v>
      </c>
      <c r="D12" s="250">
        <v>4</v>
      </c>
      <c r="E12" s="289">
        <v>5</v>
      </c>
      <c r="F12" s="336">
        <v>5</v>
      </c>
      <c r="G12" s="336">
        <v>6</v>
      </c>
      <c r="H12" s="250">
        <v>5</v>
      </c>
      <c r="I12" s="250">
        <v>6</v>
      </c>
      <c r="J12" s="250">
        <v>7</v>
      </c>
    </row>
    <row r="13" spans="1:10" s="1" customFormat="1" ht="17.25" customHeight="1">
      <c r="A13" s="467" t="str">
        <f>'[1]пр к ПП2'!A13:L13</f>
        <v>Цель. Удовлетворение потребности населения в перевозках.</v>
      </c>
      <c r="B13" s="468"/>
      <c r="C13" s="468"/>
      <c r="D13" s="468"/>
      <c r="E13" s="468"/>
      <c r="F13" s="468"/>
      <c r="G13" s="468"/>
      <c r="H13" s="468"/>
      <c r="I13" s="468"/>
      <c r="J13" s="469"/>
    </row>
    <row r="14" spans="1:10" s="1" customFormat="1" ht="33" customHeight="1">
      <c r="A14" s="467" t="str">
        <f>'[1]пр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468"/>
      <c r="C14" s="468"/>
      <c r="D14" s="468"/>
      <c r="E14" s="468"/>
      <c r="F14" s="468"/>
      <c r="G14" s="468"/>
      <c r="H14" s="468"/>
      <c r="I14" s="468"/>
      <c r="J14" s="469"/>
    </row>
    <row r="15" spans="1:10" ht="42.75" customHeight="1">
      <c r="A15" s="250" t="s">
        <v>3</v>
      </c>
      <c r="B15" s="223" t="s">
        <v>130</v>
      </c>
      <c r="C15" s="250" t="s">
        <v>73</v>
      </c>
      <c r="D15" s="250" t="s">
        <v>74</v>
      </c>
      <c r="E15" s="289">
        <v>6.68</v>
      </c>
      <c r="F15" s="337">
        <f>'пр к пасп'!N22</f>
        <v>6.9130000000000003</v>
      </c>
      <c r="G15" s="337">
        <f>'пр к пасп'!O22</f>
        <v>6.6689999999999996</v>
      </c>
      <c r="H15" s="224">
        <f>'пр к пасп'!P22</f>
        <v>6.6689999999999996</v>
      </c>
      <c r="I15" s="224">
        <f>'пр к пасп'!Q22</f>
        <v>6.6689999999999996</v>
      </c>
      <c r="J15" s="224">
        <f>'пр к пасп'!S22</f>
        <v>6.6689999999999996</v>
      </c>
    </row>
    <row r="16" spans="1:10" ht="34.5">
      <c r="A16" s="250" t="s">
        <v>79</v>
      </c>
      <c r="B16" s="223" t="s">
        <v>131</v>
      </c>
      <c r="C16" s="250" t="s">
        <v>75</v>
      </c>
      <c r="D16" s="250" t="s">
        <v>74</v>
      </c>
      <c r="E16" s="289">
        <v>172.15</v>
      </c>
      <c r="F16" s="337">
        <f>'пр к пасп'!N23</f>
        <v>150.69900000000001</v>
      </c>
      <c r="G16" s="337">
        <f>'пр к пасп'!O23</f>
        <v>150.74900000000002</v>
      </c>
      <c r="H16" s="224">
        <f>'пр к пасп'!P23</f>
        <v>150.79900000000004</v>
      </c>
      <c r="I16" s="224">
        <f>'пр к пасп'!Q23</f>
        <v>150.84900000000005</v>
      </c>
      <c r="J16" s="224">
        <f>'пр к пасп'!S23</f>
        <v>150.89900000000006</v>
      </c>
    </row>
    <row r="17" spans="1:10" ht="17.25" customHeight="1">
      <c r="A17" s="461" t="str">
        <f>'[1]пр к ПП2'!A21:L21</f>
        <v>Задача 2. Создание безопасных условии для перевозок  на территории района</v>
      </c>
      <c r="B17" s="462"/>
      <c r="C17" s="462"/>
      <c r="D17" s="462"/>
      <c r="E17" s="462"/>
      <c r="F17" s="462"/>
      <c r="G17" s="462"/>
      <c r="H17" s="462"/>
      <c r="I17" s="462"/>
      <c r="J17" s="463"/>
    </row>
    <row r="18" spans="1:10" ht="34.5">
      <c r="A18" s="250" t="s">
        <v>80</v>
      </c>
      <c r="B18" s="230" t="s">
        <v>198</v>
      </c>
      <c r="C18" s="250" t="s">
        <v>319</v>
      </c>
      <c r="D18" s="250" t="s">
        <v>74</v>
      </c>
      <c r="E18" s="289" t="s">
        <v>294</v>
      </c>
      <c r="F18" s="339" t="s">
        <v>294</v>
      </c>
      <c r="G18" s="339" t="s">
        <v>294</v>
      </c>
      <c r="H18" s="227" t="s">
        <v>294</v>
      </c>
      <c r="I18" s="227" t="s">
        <v>294</v>
      </c>
      <c r="J18" s="227" t="s">
        <v>294</v>
      </c>
    </row>
    <row r="19" spans="1:10" ht="86.25">
      <c r="A19" s="250" t="s">
        <v>266</v>
      </c>
      <c r="B19" s="230" t="s">
        <v>242</v>
      </c>
      <c r="C19" s="250" t="s">
        <v>319</v>
      </c>
      <c r="D19" s="250" t="s">
        <v>74</v>
      </c>
      <c r="E19" s="289" t="s">
        <v>294</v>
      </c>
      <c r="F19" s="339" t="s">
        <v>294</v>
      </c>
      <c r="G19" s="339" t="s">
        <v>294</v>
      </c>
      <c r="H19" s="227" t="s">
        <v>294</v>
      </c>
      <c r="I19" s="227" t="s">
        <v>294</v>
      </c>
      <c r="J19" s="227" t="s">
        <v>294</v>
      </c>
    </row>
    <row r="20" spans="1:10" ht="17.25" customHeight="1">
      <c r="A20" s="461" t="str">
        <f>'[1]пр к ПП2'!A26:L26</f>
        <v>Задача 3. Расходы на транспортировку тел умерших из населенных пунктов Туруханского района</v>
      </c>
      <c r="B20" s="462"/>
      <c r="C20" s="462"/>
      <c r="D20" s="462"/>
      <c r="E20" s="462"/>
      <c r="F20" s="462"/>
      <c r="G20" s="462"/>
      <c r="H20" s="462"/>
      <c r="I20" s="462"/>
      <c r="J20" s="463"/>
    </row>
    <row r="21" spans="1:10" ht="51.75">
      <c r="A21" s="250" t="s">
        <v>110</v>
      </c>
      <c r="B21" s="230" t="s">
        <v>354</v>
      </c>
      <c r="C21" s="250" t="s">
        <v>319</v>
      </c>
      <c r="D21" s="250" t="s">
        <v>74</v>
      </c>
      <c r="E21" s="289">
        <v>0</v>
      </c>
      <c r="F21" s="340">
        <v>0</v>
      </c>
      <c r="G21" s="340">
        <v>1</v>
      </c>
      <c r="H21" s="228">
        <v>1</v>
      </c>
      <c r="I21" s="228">
        <v>1</v>
      </c>
      <c r="J21" s="228">
        <v>1</v>
      </c>
    </row>
    <row r="22" spans="1:10" ht="17.25" customHeight="1">
      <c r="A22" s="457" t="str">
        <f>'[1]пр к ПП2'!A29:L29</f>
        <v>Отдельное мероприятие. Задача 4. Содержание улично-дорожной сети</v>
      </c>
      <c r="B22" s="458"/>
      <c r="C22" s="458"/>
      <c r="D22" s="458"/>
      <c r="E22" s="458"/>
      <c r="F22" s="458"/>
      <c r="G22" s="458"/>
      <c r="H22" s="458"/>
      <c r="I22" s="458"/>
      <c r="J22" s="459"/>
    </row>
    <row r="23" spans="1:10" ht="57" customHeight="1">
      <c r="A23" s="225" t="s">
        <v>111</v>
      </c>
      <c r="B23" s="226" t="s">
        <v>353</v>
      </c>
      <c r="C23" s="225" t="s">
        <v>275</v>
      </c>
      <c r="D23" s="225" t="s">
        <v>276</v>
      </c>
      <c r="E23" s="290">
        <v>5</v>
      </c>
      <c r="F23" s="340">
        <v>1</v>
      </c>
      <c r="G23" s="340">
        <v>2</v>
      </c>
      <c r="H23" s="228">
        <v>1</v>
      </c>
      <c r="I23" s="228">
        <v>1</v>
      </c>
      <c r="J23" s="228">
        <v>1</v>
      </c>
    </row>
    <row r="24" spans="1:10" ht="17.25" customHeight="1">
      <c r="A24" s="454" t="str">
        <f>'[1]пр к ПП2'!A32:L32</f>
        <v>Отдельное мероприятие. Задача 5. Улучшение качества оказания услуг по перевозке пасажиров</v>
      </c>
      <c r="B24" s="455"/>
      <c r="C24" s="455"/>
      <c r="D24" s="455"/>
      <c r="E24" s="455"/>
      <c r="F24" s="455"/>
      <c r="G24" s="455"/>
      <c r="H24" s="455"/>
      <c r="I24" s="455"/>
      <c r="J24" s="456"/>
    </row>
    <row r="25" spans="1:10" ht="34.5">
      <c r="A25" s="225" t="s">
        <v>281</v>
      </c>
      <c r="B25" s="226" t="s">
        <v>374</v>
      </c>
      <c r="C25" s="225" t="s">
        <v>275</v>
      </c>
      <c r="D25" s="225" t="s">
        <v>276</v>
      </c>
      <c r="E25" s="290">
        <v>1</v>
      </c>
      <c r="F25" s="341" t="s">
        <v>294</v>
      </c>
      <c r="G25" s="341">
        <v>2</v>
      </c>
      <c r="H25" s="229" t="s">
        <v>294</v>
      </c>
      <c r="I25" s="229" t="s">
        <v>294</v>
      </c>
      <c r="J25" s="229" t="s">
        <v>294</v>
      </c>
    </row>
    <row r="26" spans="1:10" ht="17.25" customHeight="1">
      <c r="A26" s="457" t="str">
        <f>'[1]пр к ПП2'!A35:L35</f>
        <v>Отдельное мероприятие. Задача 6. Улучшение качества содержания улично-дорожной сети</v>
      </c>
      <c r="B26" s="458"/>
      <c r="C26" s="458"/>
      <c r="D26" s="458"/>
      <c r="E26" s="458"/>
      <c r="F26" s="458"/>
      <c r="G26" s="458"/>
      <c r="H26" s="458"/>
      <c r="I26" s="458"/>
      <c r="J26" s="459"/>
    </row>
    <row r="27" spans="1:10" ht="34.5">
      <c r="A27" s="225" t="s">
        <v>283</v>
      </c>
      <c r="B27" s="226" t="s">
        <v>352</v>
      </c>
      <c r="C27" s="225" t="s">
        <v>275</v>
      </c>
      <c r="D27" s="225" t="s">
        <v>276</v>
      </c>
      <c r="E27" s="290">
        <v>2</v>
      </c>
      <c r="F27" s="340">
        <v>1</v>
      </c>
      <c r="G27" s="340" t="s">
        <v>294</v>
      </c>
      <c r="H27" s="228" t="s">
        <v>294</v>
      </c>
      <c r="I27" s="229" t="s">
        <v>294</v>
      </c>
      <c r="J27" s="229" t="str">
        <f t="shared" ref="J27" si="0">I27</f>
        <v>-</v>
      </c>
    </row>
    <row r="28" spans="1:10" ht="17.25">
      <c r="A28" s="470" t="str">
        <f>'[1]пр к ПП2'!A38:K38</f>
        <v>Отдельное мероприятие. Задача 7. Оказание услуг по проверке технического состояния автотранспортных средств</v>
      </c>
      <c r="B28" s="470"/>
      <c r="C28" s="470"/>
      <c r="D28" s="470"/>
      <c r="E28" s="470"/>
      <c r="F28" s="470"/>
      <c r="G28" s="470"/>
      <c r="H28" s="470"/>
      <c r="I28" s="470"/>
      <c r="J28" s="470"/>
    </row>
    <row r="29" spans="1:10" s="232" customFormat="1" ht="34.5">
      <c r="A29" s="231" t="s">
        <v>310</v>
      </c>
      <c r="B29" s="223" t="s">
        <v>351</v>
      </c>
      <c r="C29" s="231" t="s">
        <v>275</v>
      </c>
      <c r="D29" s="225" t="s">
        <v>276</v>
      </c>
      <c r="E29" s="290">
        <v>1</v>
      </c>
      <c r="F29" s="342" t="s">
        <v>294</v>
      </c>
      <c r="G29" s="342" t="s">
        <v>294</v>
      </c>
      <c r="H29" s="234" t="s">
        <v>294</v>
      </c>
      <c r="I29" s="234" t="s">
        <v>294</v>
      </c>
      <c r="J29" s="234" t="s">
        <v>294</v>
      </c>
    </row>
    <row r="30" spans="1:10" ht="17.25">
      <c r="A30" s="470" t="s">
        <v>347</v>
      </c>
      <c r="B30" s="470"/>
      <c r="C30" s="470"/>
      <c r="D30" s="470"/>
      <c r="E30" s="470"/>
      <c r="F30" s="470"/>
      <c r="G30" s="470"/>
      <c r="H30" s="470"/>
      <c r="I30" s="470"/>
      <c r="J30" s="470"/>
    </row>
    <row r="31" spans="1:10" ht="34.5">
      <c r="A31" s="231" t="s">
        <v>324</v>
      </c>
      <c r="B31" s="277" t="s">
        <v>342</v>
      </c>
      <c r="C31" s="250" t="s">
        <v>319</v>
      </c>
      <c r="D31" s="225" t="s">
        <v>74</v>
      </c>
      <c r="E31" s="290">
        <v>1</v>
      </c>
      <c r="F31" s="342">
        <v>1</v>
      </c>
      <c r="G31" s="342" t="s">
        <v>294</v>
      </c>
      <c r="H31" s="234" t="s">
        <v>294</v>
      </c>
      <c r="I31" s="234" t="s">
        <v>294</v>
      </c>
      <c r="J31" s="234" t="s">
        <v>294</v>
      </c>
    </row>
    <row r="32" spans="1:10" ht="17.25">
      <c r="A32" s="470" t="s">
        <v>340</v>
      </c>
      <c r="B32" s="470"/>
      <c r="C32" s="470"/>
      <c r="D32" s="470"/>
      <c r="E32" s="470"/>
      <c r="F32" s="470"/>
      <c r="G32" s="470"/>
      <c r="H32" s="470"/>
      <c r="I32" s="470"/>
      <c r="J32" s="470"/>
    </row>
    <row r="33" spans="1:10" ht="51.75">
      <c r="A33" s="231" t="s">
        <v>350</v>
      </c>
      <c r="B33" s="223" t="s">
        <v>381</v>
      </c>
      <c r="C33" s="253" t="s">
        <v>319</v>
      </c>
      <c r="D33" s="225" t="s">
        <v>74</v>
      </c>
      <c r="E33" s="290">
        <v>0</v>
      </c>
      <c r="F33" s="342">
        <v>1</v>
      </c>
      <c r="G33" s="342">
        <v>1</v>
      </c>
      <c r="H33" s="234">
        <v>1</v>
      </c>
      <c r="I33" s="234">
        <v>1</v>
      </c>
      <c r="J33" s="234">
        <v>1</v>
      </c>
    </row>
    <row r="34" spans="1:10" ht="35.25" customHeight="1">
      <c r="A34" s="471" t="s">
        <v>365</v>
      </c>
      <c r="B34" s="471"/>
      <c r="C34" s="471"/>
      <c r="D34" s="471"/>
      <c r="E34" s="471"/>
      <c r="F34" s="471"/>
      <c r="G34" s="471"/>
      <c r="H34" s="471"/>
      <c r="I34" s="471"/>
      <c r="J34" s="471"/>
    </row>
    <row r="35" spans="1:10" ht="51.75">
      <c r="A35" s="231" t="s">
        <v>360</v>
      </c>
      <c r="B35" s="223" t="s">
        <v>367</v>
      </c>
      <c r="C35" s="283" t="s">
        <v>319</v>
      </c>
      <c r="D35" s="225" t="s">
        <v>74</v>
      </c>
      <c r="E35" s="290">
        <v>0</v>
      </c>
      <c r="F35" s="342">
        <v>1</v>
      </c>
      <c r="G35" s="342">
        <v>1</v>
      </c>
      <c r="H35" s="234" t="s">
        <v>294</v>
      </c>
      <c r="I35" s="234" t="s">
        <v>294</v>
      </c>
      <c r="J35" s="234" t="s">
        <v>294</v>
      </c>
    </row>
  </sheetData>
  <mergeCells count="20">
    <mergeCell ref="A32:J32"/>
    <mergeCell ref="F4:J4"/>
    <mergeCell ref="A30:J30"/>
    <mergeCell ref="A28:J28"/>
    <mergeCell ref="A34:J34"/>
    <mergeCell ref="F1:J1"/>
    <mergeCell ref="A24:J24"/>
    <mergeCell ref="A22:J22"/>
    <mergeCell ref="A26:J26"/>
    <mergeCell ref="A7:J7"/>
    <mergeCell ref="A8:J8"/>
    <mergeCell ref="A10:A11"/>
    <mergeCell ref="B10:B11"/>
    <mergeCell ref="C10:C11"/>
    <mergeCell ref="D10:D11"/>
    <mergeCell ref="A20:J20"/>
    <mergeCell ref="E10:J10"/>
    <mergeCell ref="A17:J17"/>
    <mergeCell ref="A13:J13"/>
    <mergeCell ref="A14:J14"/>
  </mergeCells>
  <pageMargins left="0.78740157480314965" right="0.78740157480314965" top="1.1811023622047245" bottom="0.39370078740157483" header="0.31496062992125984" footer="0.31496062992125984"/>
  <pageSetup paperSize="9" scale="82" firstPageNumber="36" fitToHeight="0" orientation="landscape" useFirstPageNumber="1" r:id="rId1"/>
  <headerFooter>
    <oddHeader>&amp;C&amp;P</oddHeader>
  </headerFooter>
  <rowBreaks count="1" manualBreakCount="1">
    <brk id="19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O51"/>
  <sheetViews>
    <sheetView view="pageBreakPreview" topLeftCell="A24" zoomScale="70" zoomScaleNormal="70" zoomScaleSheetLayoutView="70" workbookViewId="0">
      <selection activeCell="N1" sqref="N1:O1"/>
    </sheetView>
  </sheetViews>
  <sheetFormatPr defaultColWidth="9" defaultRowHeight="18.75" outlineLevelRow="1" outlineLevelCol="1"/>
  <cols>
    <col min="1" max="1" width="4.75" style="147" customWidth="1"/>
    <col min="2" max="2" width="68.125" style="148" customWidth="1"/>
    <col min="3" max="3" width="35.125" style="148" customWidth="1"/>
    <col min="4" max="5" width="7.375" style="148" customWidth="1"/>
    <col min="6" max="6" width="14.75" style="148" customWidth="1"/>
    <col min="7" max="7" width="5.75" style="148" hidden="1" customWidth="1" outlineLevel="1"/>
    <col min="8" max="8" width="5.75" style="267" hidden="1" customWidth="1" outlineLevel="1"/>
    <col min="9" max="9" width="16.5" style="260" hidden="1" customWidth="1" outlineLevel="1"/>
    <col min="10" max="10" width="16" style="8" hidden="1" customWidth="1" outlineLevel="1"/>
    <col min="11" max="11" width="16" style="148" bestFit="1" customWidth="1" collapsed="1"/>
    <col min="12" max="12" width="16" style="148" bestFit="1" customWidth="1"/>
    <col min="13" max="13" width="16" style="148" customWidth="1"/>
    <col min="14" max="14" width="18.625" style="148" customWidth="1"/>
    <col min="15" max="15" width="46.375" style="148" customWidth="1"/>
    <col min="16" max="16384" width="9" style="148"/>
  </cols>
  <sheetData>
    <row r="1" spans="1:15" ht="63.75" customHeight="1" outlineLevel="1">
      <c r="N1" s="484" t="s">
        <v>401</v>
      </c>
      <c r="O1" s="484"/>
    </row>
    <row r="2" spans="1:15" outlineLevel="1"/>
    <row r="3" spans="1:15" outlineLevel="1"/>
    <row r="4" spans="1:15" ht="63.75" customHeight="1">
      <c r="A4" s="132"/>
      <c r="B4" s="8"/>
      <c r="C4" s="8"/>
      <c r="D4" s="8"/>
      <c r="E4" s="8"/>
      <c r="F4" s="8"/>
      <c r="G4" s="8"/>
      <c r="N4" s="449" t="s">
        <v>193</v>
      </c>
      <c r="O4" s="449"/>
    </row>
    <row r="5" spans="1:15">
      <c r="A5" s="132"/>
      <c r="B5" s="8"/>
      <c r="C5" s="8"/>
      <c r="D5" s="8"/>
      <c r="E5" s="8"/>
      <c r="F5" s="8"/>
      <c r="G5" s="8"/>
      <c r="N5" s="8"/>
      <c r="O5" s="8"/>
    </row>
    <row r="6" spans="1:15">
      <c r="A6" s="132"/>
      <c r="B6" s="8"/>
      <c r="C6" s="8"/>
      <c r="D6" s="8"/>
      <c r="E6" s="8"/>
      <c r="F6" s="8"/>
      <c r="G6" s="8"/>
      <c r="N6" s="8"/>
      <c r="O6" s="8"/>
    </row>
    <row r="7" spans="1:15">
      <c r="A7" s="452" t="s">
        <v>1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</row>
    <row r="8" spans="1:15">
      <c r="A8" s="452" t="s">
        <v>217</v>
      </c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</row>
    <row r="9" spans="1:15">
      <c r="A9" s="132"/>
      <c r="B9" s="8"/>
      <c r="C9" s="8"/>
      <c r="D9" s="8"/>
      <c r="E9" s="8"/>
      <c r="F9" s="8"/>
      <c r="G9" s="8"/>
      <c r="N9" s="8"/>
      <c r="O9" s="8"/>
    </row>
    <row r="10" spans="1:15" s="155" customFormat="1" ht="32.25" customHeight="1">
      <c r="A10" s="422" t="s">
        <v>19</v>
      </c>
      <c r="B10" s="422" t="s">
        <v>45</v>
      </c>
      <c r="C10" s="422" t="s">
        <v>25</v>
      </c>
      <c r="D10" s="422" t="s">
        <v>23</v>
      </c>
      <c r="E10" s="422"/>
      <c r="F10" s="422"/>
      <c r="G10" s="422"/>
      <c r="H10" s="327"/>
      <c r="I10" s="328"/>
      <c r="J10" s="422" t="s">
        <v>46</v>
      </c>
      <c r="K10" s="422"/>
      <c r="L10" s="422"/>
      <c r="M10" s="422"/>
      <c r="N10" s="422"/>
      <c r="O10" s="422" t="s">
        <v>47</v>
      </c>
    </row>
    <row r="11" spans="1:15" s="155" customFormat="1" ht="50.25" customHeight="1">
      <c r="A11" s="422"/>
      <c r="B11" s="422"/>
      <c r="C11" s="422"/>
      <c r="D11" s="315" t="s">
        <v>25</v>
      </c>
      <c r="E11" s="315" t="s">
        <v>26</v>
      </c>
      <c r="F11" s="315" t="s">
        <v>27</v>
      </c>
      <c r="G11" s="315" t="s">
        <v>28</v>
      </c>
      <c r="H11" s="327"/>
      <c r="I11" s="327">
        <v>2023</v>
      </c>
      <c r="J11" s="273">
        <f>I11+1</f>
        <v>2024</v>
      </c>
      <c r="K11" s="273">
        <f>J11+1</f>
        <v>2025</v>
      </c>
      <c r="L11" s="273">
        <f>K11+1</f>
        <v>2026</v>
      </c>
      <c r="M11" s="273" t="s">
        <v>375</v>
      </c>
      <c r="N11" s="315" t="s">
        <v>48</v>
      </c>
      <c r="O11" s="422"/>
    </row>
    <row r="12" spans="1:15" s="155" customFormat="1" ht="15.75">
      <c r="A12" s="315">
        <v>1</v>
      </c>
      <c r="B12" s="315">
        <v>2</v>
      </c>
      <c r="C12" s="315">
        <v>3</v>
      </c>
      <c r="D12" s="315">
        <v>4</v>
      </c>
      <c r="E12" s="315">
        <v>5</v>
      </c>
      <c r="F12" s="315">
        <v>6</v>
      </c>
      <c r="G12" s="315">
        <v>7</v>
      </c>
      <c r="H12" s="327"/>
      <c r="I12" s="328"/>
      <c r="J12" s="315">
        <v>8</v>
      </c>
      <c r="K12" s="315">
        <v>7</v>
      </c>
      <c r="L12" s="315">
        <v>8</v>
      </c>
      <c r="M12" s="315">
        <v>9</v>
      </c>
      <c r="N12" s="315">
        <v>10</v>
      </c>
      <c r="O12" s="315">
        <v>11</v>
      </c>
    </row>
    <row r="13" spans="1:15" s="156" customFormat="1" ht="18.75" customHeight="1">
      <c r="A13" s="445" t="s">
        <v>155</v>
      </c>
      <c r="B13" s="445"/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</row>
    <row r="14" spans="1:15" s="156" customFormat="1" ht="15.75" customHeight="1">
      <c r="A14" s="445" t="s">
        <v>117</v>
      </c>
      <c r="B14" s="445"/>
      <c r="C14" s="445"/>
      <c r="D14" s="445"/>
      <c r="E14" s="445"/>
      <c r="F14" s="445"/>
      <c r="G14" s="445"/>
      <c r="H14" s="445"/>
      <c r="I14" s="445"/>
      <c r="J14" s="445"/>
      <c r="K14" s="445"/>
      <c r="L14" s="445"/>
      <c r="M14" s="445"/>
      <c r="N14" s="445"/>
      <c r="O14" s="445"/>
    </row>
    <row r="15" spans="1:15" s="155" customFormat="1" ht="30.75" customHeight="1">
      <c r="A15" s="422" t="s">
        <v>3</v>
      </c>
      <c r="B15" s="432" t="s">
        <v>361</v>
      </c>
      <c r="C15" s="316" t="s">
        <v>61</v>
      </c>
      <c r="D15" s="315">
        <v>241</v>
      </c>
      <c r="E15" s="315" t="s">
        <v>60</v>
      </c>
      <c r="F15" s="57" t="s">
        <v>163</v>
      </c>
      <c r="G15" s="315">
        <v>811</v>
      </c>
      <c r="H15" s="327">
        <v>1</v>
      </c>
      <c r="I15" s="328">
        <v>117930.63892</v>
      </c>
      <c r="J15" s="32">
        <v>204209.08499999999</v>
      </c>
      <c r="K15" s="32">
        <v>207970.73936000001</v>
      </c>
      <c r="L15" s="32">
        <v>209365.459</v>
      </c>
      <c r="M15" s="32">
        <v>209365.459</v>
      </c>
      <c r="N15" s="33">
        <f>SUM(K15:M15)</f>
        <v>626701.65736000007</v>
      </c>
      <c r="O15" s="432" t="s">
        <v>114</v>
      </c>
    </row>
    <row r="16" spans="1:15" s="155" customFormat="1" ht="15.75">
      <c r="A16" s="422"/>
      <c r="B16" s="432"/>
      <c r="C16" s="68" t="s">
        <v>246</v>
      </c>
      <c r="D16" s="54" t="s">
        <v>30</v>
      </c>
      <c r="E16" s="54" t="s">
        <v>30</v>
      </c>
      <c r="F16" s="54" t="s">
        <v>30</v>
      </c>
      <c r="G16" s="54" t="s">
        <v>30</v>
      </c>
      <c r="H16" s="329"/>
      <c r="I16" s="330">
        <f>SUM(I15)</f>
        <v>117930.63892</v>
      </c>
      <c r="J16" s="69">
        <f>J15</f>
        <v>204209.08499999999</v>
      </c>
      <c r="K16" s="69">
        <f>K15</f>
        <v>207970.73936000001</v>
      </c>
      <c r="L16" s="69">
        <f>L15</f>
        <v>209365.459</v>
      </c>
      <c r="M16" s="69">
        <f>SUM(M15)</f>
        <v>209365.459</v>
      </c>
      <c r="N16" s="58">
        <f>SUM(K16:M16)</f>
        <v>626701.65736000007</v>
      </c>
      <c r="O16" s="432"/>
    </row>
    <row r="17" spans="1:15" s="155" customFormat="1" ht="33.75" customHeight="1">
      <c r="A17" s="422" t="s">
        <v>79</v>
      </c>
      <c r="B17" s="432" t="s">
        <v>345</v>
      </c>
      <c r="C17" s="244" t="s">
        <v>61</v>
      </c>
      <c r="D17" s="246">
        <v>241</v>
      </c>
      <c r="E17" s="246" t="s">
        <v>60</v>
      </c>
      <c r="F17" s="57" t="s">
        <v>164</v>
      </c>
      <c r="G17" s="246">
        <v>540</v>
      </c>
      <c r="H17" s="268">
        <v>1</v>
      </c>
      <c r="I17" s="285">
        <f>4219.834+2047.001+26875.038</f>
        <v>33141.873</v>
      </c>
      <c r="J17" s="113">
        <v>33952.125</v>
      </c>
      <c r="K17" s="113">
        <v>38051.663999999997</v>
      </c>
      <c r="L17" s="113">
        <v>36051.663999999997</v>
      </c>
      <c r="M17" s="113">
        <v>36051.663999999997</v>
      </c>
      <c r="N17" s="33">
        <f>SUM(K17:M17)</f>
        <v>110154.992</v>
      </c>
      <c r="O17" s="432" t="s">
        <v>114</v>
      </c>
    </row>
    <row r="18" spans="1:15" s="155" customFormat="1" ht="15.75">
      <c r="A18" s="422"/>
      <c r="B18" s="432"/>
      <c r="C18" s="68" t="s">
        <v>246</v>
      </c>
      <c r="D18" s="54" t="s">
        <v>30</v>
      </c>
      <c r="E18" s="54" t="s">
        <v>30</v>
      </c>
      <c r="F18" s="54" t="s">
        <v>30</v>
      </c>
      <c r="G18" s="54" t="s">
        <v>30</v>
      </c>
      <c r="H18" s="269"/>
      <c r="I18" s="330">
        <f>SUM(I17)</f>
        <v>33141.873</v>
      </c>
      <c r="J18" s="69">
        <f>J17</f>
        <v>33952.125</v>
      </c>
      <c r="K18" s="69">
        <f>K17</f>
        <v>38051.663999999997</v>
      </c>
      <c r="L18" s="69">
        <f>L17</f>
        <v>36051.663999999997</v>
      </c>
      <c r="M18" s="69">
        <f>SUM(M17)</f>
        <v>36051.663999999997</v>
      </c>
      <c r="N18" s="58">
        <f>SUM(K18:M18)</f>
        <v>110154.992</v>
      </c>
      <c r="O18" s="432"/>
    </row>
    <row r="19" spans="1:15" s="155" customFormat="1" ht="15.75" hidden="1" customHeight="1" outlineLevel="1">
      <c r="A19" s="487" t="s">
        <v>81</v>
      </c>
      <c r="B19" s="485" t="s">
        <v>286</v>
      </c>
      <c r="C19" s="152" t="s">
        <v>61</v>
      </c>
      <c r="D19" s="160" t="s">
        <v>268</v>
      </c>
      <c r="E19" s="160" t="s">
        <v>60</v>
      </c>
      <c r="F19" s="160" t="s">
        <v>288</v>
      </c>
      <c r="G19" s="160" t="s">
        <v>287</v>
      </c>
      <c r="H19" s="270"/>
      <c r="I19" s="266"/>
      <c r="J19" s="240">
        <v>0</v>
      </c>
      <c r="K19" s="161">
        <v>0</v>
      </c>
      <c r="L19" s="161">
        <v>0</v>
      </c>
      <c r="M19" s="161"/>
      <c r="N19" s="117"/>
      <c r="O19" s="483" t="s">
        <v>289</v>
      </c>
    </row>
    <row r="20" spans="1:15" s="155" customFormat="1" ht="15.75" hidden="1" customHeight="1" outlineLevel="1">
      <c r="A20" s="488"/>
      <c r="B20" s="486"/>
      <c r="C20" s="157" t="s">
        <v>246</v>
      </c>
      <c r="D20" s="150" t="s">
        <v>30</v>
      </c>
      <c r="E20" s="150" t="s">
        <v>30</v>
      </c>
      <c r="F20" s="150" t="s">
        <v>30</v>
      </c>
      <c r="G20" s="150" t="s">
        <v>30</v>
      </c>
      <c r="H20" s="269"/>
      <c r="I20" s="263"/>
      <c r="J20" s="69">
        <f t="shared" ref="J20:L20" si="0">J19</f>
        <v>0</v>
      </c>
      <c r="K20" s="158">
        <f t="shared" si="0"/>
        <v>0</v>
      </c>
      <c r="L20" s="158">
        <f t="shared" si="0"/>
        <v>0</v>
      </c>
      <c r="M20" s="158"/>
      <c r="N20" s="159">
        <f t="shared" ref="N20" si="1">SUM(J20:L20)</f>
        <v>0</v>
      </c>
      <c r="O20" s="483"/>
    </row>
    <row r="21" spans="1:15" s="156" customFormat="1" ht="15.75" customHeight="1" collapsed="1">
      <c r="A21" s="445" t="s">
        <v>224</v>
      </c>
      <c r="B21" s="445"/>
      <c r="C21" s="445"/>
      <c r="D21" s="445"/>
      <c r="E21" s="445"/>
      <c r="F21" s="445"/>
      <c r="G21" s="445"/>
      <c r="H21" s="445"/>
      <c r="I21" s="445"/>
      <c r="J21" s="445"/>
      <c r="K21" s="445"/>
      <c r="L21" s="445"/>
      <c r="M21" s="445"/>
      <c r="N21" s="445"/>
      <c r="O21" s="445"/>
    </row>
    <row r="22" spans="1:15" s="155" customFormat="1" ht="33" customHeight="1">
      <c r="A22" s="422" t="s">
        <v>80</v>
      </c>
      <c r="B22" s="432" t="s">
        <v>198</v>
      </c>
      <c r="C22" s="244" t="s">
        <v>90</v>
      </c>
      <c r="D22" s="246">
        <v>242</v>
      </c>
      <c r="E22" s="57" t="s">
        <v>199</v>
      </c>
      <c r="F22" s="57" t="s">
        <v>210</v>
      </c>
      <c r="G22" s="246">
        <v>244</v>
      </c>
      <c r="H22" s="268"/>
      <c r="I22" s="262"/>
      <c r="J22" s="118">
        <v>0</v>
      </c>
      <c r="K22" s="119">
        <v>0</v>
      </c>
      <c r="L22" s="119">
        <v>0</v>
      </c>
      <c r="M22" s="119">
        <v>0</v>
      </c>
      <c r="N22" s="120">
        <f t="shared" ref="N22:N25" si="2">SUM(J22:L22)</f>
        <v>0</v>
      </c>
      <c r="O22" s="432" t="s">
        <v>313</v>
      </c>
    </row>
    <row r="23" spans="1:15" s="155" customFormat="1" ht="20.25">
      <c r="A23" s="422"/>
      <c r="B23" s="432"/>
      <c r="C23" s="68" t="s">
        <v>246</v>
      </c>
      <c r="D23" s="54" t="s">
        <v>30</v>
      </c>
      <c r="E23" s="54" t="s">
        <v>30</v>
      </c>
      <c r="F23" s="54" t="s">
        <v>30</v>
      </c>
      <c r="G23" s="54" t="s">
        <v>30</v>
      </c>
      <c r="H23" s="269"/>
      <c r="I23" s="263"/>
      <c r="J23" s="121">
        <f>J22</f>
        <v>0</v>
      </c>
      <c r="K23" s="121">
        <f t="shared" ref="K23:L25" si="3">K22</f>
        <v>0</v>
      </c>
      <c r="L23" s="121">
        <f t="shared" si="3"/>
        <v>0</v>
      </c>
      <c r="M23" s="121">
        <f t="shared" ref="M23" si="4">M22</f>
        <v>0</v>
      </c>
      <c r="N23" s="122">
        <f t="shared" si="2"/>
        <v>0</v>
      </c>
      <c r="O23" s="432"/>
    </row>
    <row r="24" spans="1:15" s="155" customFormat="1" ht="39.75" customHeight="1">
      <c r="A24" s="422" t="s">
        <v>266</v>
      </c>
      <c r="B24" s="432" t="s">
        <v>242</v>
      </c>
      <c r="C24" s="245" t="s">
        <v>62</v>
      </c>
      <c r="D24" s="246">
        <v>247</v>
      </c>
      <c r="E24" s="57" t="s">
        <v>60</v>
      </c>
      <c r="F24" s="57" t="s">
        <v>241</v>
      </c>
      <c r="G24" s="246">
        <v>540</v>
      </c>
      <c r="H24" s="268"/>
      <c r="I24" s="262"/>
      <c r="J24" s="118">
        <v>0</v>
      </c>
      <c r="K24" s="119">
        <v>0</v>
      </c>
      <c r="L24" s="119">
        <v>0</v>
      </c>
      <c r="M24" s="119">
        <v>0</v>
      </c>
      <c r="N24" s="120">
        <f t="shared" si="2"/>
        <v>0</v>
      </c>
      <c r="O24" s="439" t="s">
        <v>314</v>
      </c>
    </row>
    <row r="25" spans="1:15" s="155" customFormat="1" ht="20.25">
      <c r="A25" s="422"/>
      <c r="B25" s="432"/>
      <c r="C25" s="68" t="s">
        <v>246</v>
      </c>
      <c r="D25" s="54" t="s">
        <v>30</v>
      </c>
      <c r="E25" s="54" t="s">
        <v>30</v>
      </c>
      <c r="F25" s="54" t="s">
        <v>30</v>
      </c>
      <c r="G25" s="54" t="s">
        <v>30</v>
      </c>
      <c r="H25" s="269"/>
      <c r="I25" s="263"/>
      <c r="J25" s="121">
        <f>J24</f>
        <v>0</v>
      </c>
      <c r="K25" s="121">
        <f t="shared" si="3"/>
        <v>0</v>
      </c>
      <c r="L25" s="121">
        <f t="shared" si="3"/>
        <v>0</v>
      </c>
      <c r="M25" s="121">
        <f t="shared" ref="M25" si="5">M24</f>
        <v>0</v>
      </c>
      <c r="N25" s="122">
        <f t="shared" si="2"/>
        <v>0</v>
      </c>
      <c r="O25" s="441"/>
    </row>
    <row r="26" spans="1:15" s="155" customFormat="1" ht="15.75" customHeight="1">
      <c r="A26" s="480" t="s">
        <v>267</v>
      </c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2"/>
    </row>
    <row r="27" spans="1:15" s="155" customFormat="1" ht="15.75">
      <c r="A27" s="446" t="s">
        <v>110</v>
      </c>
      <c r="B27" s="439" t="s">
        <v>362</v>
      </c>
      <c r="C27" s="316" t="s">
        <v>61</v>
      </c>
      <c r="D27" s="92" t="s">
        <v>268</v>
      </c>
      <c r="E27" s="92" t="s">
        <v>63</v>
      </c>
      <c r="F27" s="92" t="s">
        <v>269</v>
      </c>
      <c r="G27" s="92" t="s">
        <v>271</v>
      </c>
      <c r="H27" s="331">
        <v>1</v>
      </c>
      <c r="I27" s="332">
        <v>0</v>
      </c>
      <c r="J27" s="124">
        <v>4320</v>
      </c>
      <c r="K27" s="124">
        <v>0</v>
      </c>
      <c r="L27" s="124">
        <v>4320</v>
      </c>
      <c r="M27" s="124">
        <v>4320</v>
      </c>
      <c r="N27" s="33">
        <f>SUM(K27:M27)</f>
        <v>8640</v>
      </c>
      <c r="O27" s="439" t="s">
        <v>348</v>
      </c>
    </row>
    <row r="28" spans="1:15" s="155" customFormat="1" ht="15.75">
      <c r="A28" s="447"/>
      <c r="B28" s="441"/>
      <c r="C28" s="68" t="s">
        <v>246</v>
      </c>
      <c r="D28" s="54" t="s">
        <v>30</v>
      </c>
      <c r="E28" s="54" t="s">
        <v>30</v>
      </c>
      <c r="F28" s="54" t="s">
        <v>30</v>
      </c>
      <c r="G28" s="54" t="s">
        <v>30</v>
      </c>
      <c r="H28" s="329"/>
      <c r="I28" s="330">
        <f>SUM(I27)</f>
        <v>0</v>
      </c>
      <c r="J28" s="69">
        <f>SUM(J27)</f>
        <v>4320</v>
      </c>
      <c r="K28" s="69">
        <f>SUM(K27)</f>
        <v>0</v>
      </c>
      <c r="L28" s="69">
        <f>SUM(L27)</f>
        <v>4320</v>
      </c>
      <c r="M28" s="69">
        <f>SUM(M27)</f>
        <v>4320</v>
      </c>
      <c r="N28" s="58">
        <f>SUM(K28:M28)</f>
        <v>8640</v>
      </c>
      <c r="O28" s="441"/>
    </row>
    <row r="29" spans="1:15" s="155" customFormat="1" ht="15" customHeight="1">
      <c r="A29" s="477" t="s">
        <v>312</v>
      </c>
      <c r="B29" s="478"/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8"/>
      <c r="N29" s="478"/>
      <c r="O29" s="479"/>
    </row>
    <row r="30" spans="1:15" s="155" customFormat="1" ht="15.75">
      <c r="A30" s="446" t="s">
        <v>111</v>
      </c>
      <c r="B30" s="439" t="s">
        <v>346</v>
      </c>
      <c r="C30" s="354" t="s">
        <v>61</v>
      </c>
      <c r="D30" s="355" t="s">
        <v>268</v>
      </c>
      <c r="E30" s="355" t="s">
        <v>63</v>
      </c>
      <c r="F30" s="355" t="s">
        <v>301</v>
      </c>
      <c r="G30" s="92" t="s">
        <v>285</v>
      </c>
      <c r="H30" s="331">
        <v>1</v>
      </c>
      <c r="I30" s="332">
        <v>12918.441999999999</v>
      </c>
      <c r="J30" s="124">
        <v>8735</v>
      </c>
      <c r="K30" s="124">
        <v>5355</v>
      </c>
      <c r="L30" s="124">
        <v>17500</v>
      </c>
      <c r="M30" s="124">
        <v>17500</v>
      </c>
      <c r="N30" s="33">
        <f>SUM(K30:M30)</f>
        <v>40355</v>
      </c>
      <c r="O30" s="439" t="s">
        <v>315</v>
      </c>
    </row>
    <row r="31" spans="1:15" s="155" customFormat="1" ht="15.75">
      <c r="A31" s="447"/>
      <c r="B31" s="441"/>
      <c r="C31" s="68" t="s">
        <v>246</v>
      </c>
      <c r="D31" s="54" t="s">
        <v>30</v>
      </c>
      <c r="E31" s="54" t="s">
        <v>30</v>
      </c>
      <c r="F31" s="54" t="s">
        <v>30</v>
      </c>
      <c r="G31" s="54" t="s">
        <v>30</v>
      </c>
      <c r="H31" s="329"/>
      <c r="I31" s="330">
        <f>SUM(I30:I30)</f>
        <v>12918.441999999999</v>
      </c>
      <c r="J31" s="69">
        <f>SUM(J30)</f>
        <v>8735</v>
      </c>
      <c r="K31" s="69">
        <f>SUM(K30)</f>
        <v>5355</v>
      </c>
      <c r="L31" s="69">
        <f>SUM(L30)</f>
        <v>17500</v>
      </c>
      <c r="M31" s="69">
        <f>SUM(M30)</f>
        <v>17500</v>
      </c>
      <c r="N31" s="58">
        <f>SUM(K31:M31)</f>
        <v>40355</v>
      </c>
      <c r="O31" s="441"/>
    </row>
    <row r="32" spans="1:15" s="155" customFormat="1" ht="15.75" customHeight="1">
      <c r="A32" s="477" t="s">
        <v>349</v>
      </c>
      <c r="B32" s="478"/>
      <c r="C32" s="47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9"/>
    </row>
    <row r="33" spans="1:15" s="155" customFormat="1" ht="15.75">
      <c r="A33" s="446" t="s">
        <v>281</v>
      </c>
      <c r="B33" s="439" t="s">
        <v>363</v>
      </c>
      <c r="C33" s="316" t="s">
        <v>61</v>
      </c>
      <c r="D33" s="92" t="s">
        <v>268</v>
      </c>
      <c r="E33" s="92" t="s">
        <v>63</v>
      </c>
      <c r="F33" s="92" t="s">
        <v>302</v>
      </c>
      <c r="G33" s="92" t="s">
        <v>285</v>
      </c>
      <c r="H33" s="331"/>
      <c r="I33" s="332"/>
      <c r="J33" s="124">
        <v>18965</v>
      </c>
      <c r="K33" s="124">
        <v>0</v>
      </c>
      <c r="L33" s="124">
        <v>0</v>
      </c>
      <c r="M33" s="124">
        <v>0</v>
      </c>
      <c r="N33" s="33">
        <f>SUM(K33:M33)</f>
        <v>0</v>
      </c>
      <c r="O33" s="439" t="s">
        <v>316</v>
      </c>
    </row>
    <row r="34" spans="1:15" s="155" customFormat="1" ht="15.75">
      <c r="A34" s="447"/>
      <c r="B34" s="441"/>
      <c r="C34" s="68" t="s">
        <v>246</v>
      </c>
      <c r="D34" s="54" t="s">
        <v>30</v>
      </c>
      <c r="E34" s="54" t="s">
        <v>30</v>
      </c>
      <c r="F34" s="54" t="s">
        <v>30</v>
      </c>
      <c r="G34" s="54" t="s">
        <v>30</v>
      </c>
      <c r="H34" s="329"/>
      <c r="I34" s="330"/>
      <c r="J34" s="69">
        <f>SUM(J33)</f>
        <v>18965</v>
      </c>
      <c r="K34" s="69">
        <f t="shared" ref="K34:N34" si="6">SUM(K33)</f>
        <v>0</v>
      </c>
      <c r="L34" s="69">
        <f t="shared" si="6"/>
        <v>0</v>
      </c>
      <c r="M34" s="69">
        <f t="shared" si="6"/>
        <v>0</v>
      </c>
      <c r="N34" s="69">
        <f t="shared" si="6"/>
        <v>0</v>
      </c>
      <c r="O34" s="441"/>
    </row>
    <row r="35" spans="1:15" s="155" customFormat="1" ht="15.75" customHeight="1">
      <c r="A35" s="477" t="s">
        <v>303</v>
      </c>
      <c r="B35" s="478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9"/>
    </row>
    <row r="36" spans="1:15" s="155" customFormat="1" ht="15.75">
      <c r="A36" s="446" t="s">
        <v>283</v>
      </c>
      <c r="B36" s="439" t="s">
        <v>359</v>
      </c>
      <c r="C36" s="316" t="s">
        <v>61</v>
      </c>
      <c r="D36" s="92" t="s">
        <v>268</v>
      </c>
      <c r="E36" s="92" t="s">
        <v>63</v>
      </c>
      <c r="F36" s="92" t="s">
        <v>304</v>
      </c>
      <c r="G36" s="92" t="s">
        <v>287</v>
      </c>
      <c r="H36" s="331"/>
      <c r="I36" s="332"/>
      <c r="J36" s="124" t="s">
        <v>294</v>
      </c>
      <c r="K36" s="124">
        <v>4300</v>
      </c>
      <c r="L36" s="124">
        <v>0</v>
      </c>
      <c r="M36" s="124">
        <v>0</v>
      </c>
      <c r="N36" s="33">
        <f>SUM(J36:L36)</f>
        <v>4300</v>
      </c>
      <c r="O36" s="439" t="s">
        <v>317</v>
      </c>
    </row>
    <row r="37" spans="1:15" s="155" customFormat="1" ht="15.75">
      <c r="A37" s="447"/>
      <c r="B37" s="441"/>
      <c r="C37" s="68" t="s">
        <v>246</v>
      </c>
      <c r="D37" s="54" t="s">
        <v>30</v>
      </c>
      <c r="E37" s="54" t="s">
        <v>30</v>
      </c>
      <c r="F37" s="54" t="s">
        <v>30</v>
      </c>
      <c r="G37" s="54" t="s">
        <v>30</v>
      </c>
      <c r="H37" s="329"/>
      <c r="I37" s="330"/>
      <c r="J37" s="69">
        <f>SUM(J36)</f>
        <v>0</v>
      </c>
      <c r="K37" s="69">
        <f t="shared" ref="K37:N37" si="7">SUM(K36)</f>
        <v>4300</v>
      </c>
      <c r="L37" s="69">
        <v>0</v>
      </c>
      <c r="M37" s="69">
        <f t="shared" si="7"/>
        <v>0</v>
      </c>
      <c r="N37" s="69">
        <f t="shared" si="7"/>
        <v>4300</v>
      </c>
      <c r="O37" s="441"/>
    </row>
    <row r="38" spans="1:15" s="155" customFormat="1" ht="15.75" customHeight="1">
      <c r="A38" s="474" t="s">
        <v>309</v>
      </c>
      <c r="B38" s="475"/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5"/>
      <c r="N38" s="476"/>
      <c r="O38" s="315"/>
    </row>
    <row r="39" spans="1:15" s="155" customFormat="1" ht="15.75">
      <c r="A39" s="446" t="s">
        <v>310</v>
      </c>
      <c r="B39" s="439" t="s">
        <v>321</v>
      </c>
      <c r="C39" s="316" t="s">
        <v>61</v>
      </c>
      <c r="D39" s="92" t="s">
        <v>268</v>
      </c>
      <c r="E39" s="92" t="s">
        <v>63</v>
      </c>
      <c r="F39" s="92" t="s">
        <v>320</v>
      </c>
      <c r="G39" s="92" t="s">
        <v>287</v>
      </c>
      <c r="H39" s="331"/>
      <c r="I39" s="332"/>
      <c r="J39" s="124" t="s">
        <v>294</v>
      </c>
      <c r="K39" s="216">
        <v>0</v>
      </c>
      <c r="L39" s="216">
        <v>0</v>
      </c>
      <c r="M39" s="216">
        <v>0</v>
      </c>
      <c r="N39" s="124">
        <f>SUM(J39:L39)</f>
        <v>0</v>
      </c>
      <c r="O39" s="439" t="s">
        <v>318</v>
      </c>
    </row>
    <row r="40" spans="1:15" s="155" customFormat="1" ht="15.75">
      <c r="A40" s="447"/>
      <c r="B40" s="441"/>
      <c r="C40" s="68" t="s">
        <v>246</v>
      </c>
      <c r="D40" s="54" t="s">
        <v>30</v>
      </c>
      <c r="E40" s="54" t="s">
        <v>30</v>
      </c>
      <c r="F40" s="54" t="s">
        <v>30</v>
      </c>
      <c r="G40" s="54" t="s">
        <v>30</v>
      </c>
      <c r="H40" s="329"/>
      <c r="I40" s="330"/>
      <c r="J40" s="69">
        <f>SUM(J39)</f>
        <v>0</v>
      </c>
      <c r="K40" s="69">
        <f t="shared" ref="K40:N40" si="8">SUM(K39)</f>
        <v>0</v>
      </c>
      <c r="L40" s="69">
        <f t="shared" si="8"/>
        <v>0</v>
      </c>
      <c r="M40" s="69">
        <f t="shared" si="8"/>
        <v>0</v>
      </c>
      <c r="N40" s="69">
        <f t="shared" si="8"/>
        <v>0</v>
      </c>
      <c r="O40" s="441"/>
    </row>
    <row r="41" spans="1:15" s="155" customFormat="1" ht="15.75" customHeight="1">
      <c r="A41" s="474" t="s">
        <v>347</v>
      </c>
      <c r="B41" s="475"/>
      <c r="C41" s="475"/>
      <c r="D41" s="475"/>
      <c r="E41" s="475"/>
      <c r="F41" s="475"/>
      <c r="G41" s="475"/>
      <c r="H41" s="475"/>
      <c r="I41" s="475"/>
      <c r="J41" s="475"/>
      <c r="K41" s="251"/>
      <c r="L41" s="251"/>
      <c r="M41" s="251"/>
      <c r="N41" s="252"/>
      <c r="O41" s="315"/>
    </row>
    <row r="42" spans="1:15" s="155" customFormat="1" ht="15.75">
      <c r="A42" s="446" t="s">
        <v>324</v>
      </c>
      <c r="B42" s="472" t="s">
        <v>339</v>
      </c>
      <c r="C42" s="316" t="s">
        <v>61</v>
      </c>
      <c r="D42" s="92" t="s">
        <v>268</v>
      </c>
      <c r="E42" s="92" t="s">
        <v>63</v>
      </c>
      <c r="F42" s="92" t="s">
        <v>322</v>
      </c>
      <c r="G42" s="92" t="s">
        <v>323</v>
      </c>
      <c r="H42" s="331">
        <v>1</v>
      </c>
      <c r="I42" s="332">
        <v>6581.558</v>
      </c>
      <c r="J42" s="124" t="s">
        <v>294</v>
      </c>
      <c r="K42" s="402">
        <v>1712.7</v>
      </c>
      <c r="L42" s="216">
        <v>0</v>
      </c>
      <c r="M42" s="216">
        <v>0</v>
      </c>
      <c r="N42" s="124">
        <f>SUM(J42:L42)</f>
        <v>1712.7</v>
      </c>
      <c r="O42" s="439" t="s">
        <v>342</v>
      </c>
    </row>
    <row r="43" spans="1:15" s="155" customFormat="1" ht="15.75">
      <c r="A43" s="447"/>
      <c r="B43" s="473"/>
      <c r="C43" s="68" t="s">
        <v>246</v>
      </c>
      <c r="D43" s="54" t="s">
        <v>30</v>
      </c>
      <c r="E43" s="54" t="s">
        <v>30</v>
      </c>
      <c r="F43" s="54" t="s">
        <v>30</v>
      </c>
      <c r="G43" s="54" t="s">
        <v>30</v>
      </c>
      <c r="H43" s="329"/>
      <c r="I43" s="330">
        <f>SUM(I42)</f>
        <v>6581.558</v>
      </c>
      <c r="J43" s="69">
        <f>SUM(J42)</f>
        <v>0</v>
      </c>
      <c r="K43" s="69">
        <f t="shared" ref="K43:N43" si="9">SUM(K42)</f>
        <v>1712.7</v>
      </c>
      <c r="L43" s="69">
        <f t="shared" si="9"/>
        <v>0</v>
      </c>
      <c r="M43" s="69">
        <f t="shared" si="9"/>
        <v>0</v>
      </c>
      <c r="N43" s="69">
        <f t="shared" si="9"/>
        <v>1712.7</v>
      </c>
      <c r="O43" s="441"/>
    </row>
    <row r="44" spans="1:15" s="155" customFormat="1" ht="15.75">
      <c r="A44" s="474" t="s">
        <v>382</v>
      </c>
      <c r="B44" s="475"/>
      <c r="C44" s="475"/>
      <c r="D44" s="475"/>
      <c r="E44" s="475"/>
      <c r="F44" s="475"/>
      <c r="G44" s="475"/>
      <c r="H44" s="475"/>
      <c r="I44" s="475"/>
      <c r="J44" s="475"/>
      <c r="K44" s="251"/>
      <c r="L44" s="251"/>
      <c r="M44" s="251"/>
      <c r="N44" s="252"/>
      <c r="O44" s="315"/>
    </row>
    <row r="45" spans="1:15" s="155" customFormat="1" ht="30.75" customHeight="1">
      <c r="A45" s="446" t="s">
        <v>350</v>
      </c>
      <c r="B45" s="472" t="str">
        <f>'+ пр к пасп ПП2'!B33</f>
        <v>Услуги по авиационному обеспечению деятельности органов МСУ, комиссии по ЧС, оперативных, поисковых и рабочих групп</v>
      </c>
      <c r="C45" s="316" t="s">
        <v>61</v>
      </c>
      <c r="D45" s="92" t="s">
        <v>268</v>
      </c>
      <c r="E45" s="92" t="s">
        <v>60</v>
      </c>
      <c r="F45" s="92" t="s">
        <v>341</v>
      </c>
      <c r="G45" s="92" t="s">
        <v>271</v>
      </c>
      <c r="H45" s="331">
        <v>1</v>
      </c>
      <c r="I45" s="332">
        <v>1537.29576</v>
      </c>
      <c r="J45" s="240">
        <v>4296.24</v>
      </c>
      <c r="K45" s="124">
        <v>8810.90301</v>
      </c>
      <c r="L45" s="124">
        <v>11256.24</v>
      </c>
      <c r="M45" s="124">
        <v>11256.24</v>
      </c>
      <c r="N45" s="33">
        <f>SUM(K45:M45)</f>
        <v>31323.383009999998</v>
      </c>
      <c r="O45" s="439" t="s">
        <v>383</v>
      </c>
    </row>
    <row r="46" spans="1:15" s="155" customFormat="1" ht="15.75">
      <c r="A46" s="447"/>
      <c r="B46" s="473"/>
      <c r="C46" s="68" t="s">
        <v>246</v>
      </c>
      <c r="D46" s="54" t="s">
        <v>30</v>
      </c>
      <c r="E46" s="54" t="s">
        <v>30</v>
      </c>
      <c r="F46" s="54" t="s">
        <v>30</v>
      </c>
      <c r="G46" s="54" t="s">
        <v>30</v>
      </c>
      <c r="H46" s="329"/>
      <c r="I46" s="330">
        <f>SUM(I45)</f>
        <v>1537.29576</v>
      </c>
      <c r="J46" s="69">
        <f>SUM(J45)</f>
        <v>4296.24</v>
      </c>
      <c r="K46" s="69">
        <f t="shared" ref="K46:L46" si="10">SUM(K45)</f>
        <v>8810.90301</v>
      </c>
      <c r="L46" s="69">
        <f t="shared" si="10"/>
        <v>11256.24</v>
      </c>
      <c r="M46" s="69">
        <f>SUM(M45)</f>
        <v>11256.24</v>
      </c>
      <c r="N46" s="58">
        <f>SUM(K46:M46)</f>
        <v>31323.383009999998</v>
      </c>
      <c r="O46" s="441"/>
    </row>
    <row r="47" spans="1:15" s="155" customFormat="1" ht="15.75" hidden="1" customHeight="1">
      <c r="A47" s="474" t="s">
        <v>365</v>
      </c>
      <c r="B47" s="475"/>
      <c r="C47" s="475"/>
      <c r="D47" s="475"/>
      <c r="E47" s="475"/>
      <c r="F47" s="475"/>
      <c r="G47" s="475"/>
      <c r="H47" s="475"/>
      <c r="I47" s="475"/>
      <c r="J47" s="475"/>
      <c r="K47" s="475"/>
      <c r="L47" s="475"/>
      <c r="M47" s="475"/>
      <c r="N47" s="476"/>
      <c r="O47" s="284"/>
    </row>
    <row r="48" spans="1:15" s="155" customFormat="1" ht="42" hidden="1" customHeight="1">
      <c r="A48" s="446" t="s">
        <v>360</v>
      </c>
      <c r="B48" s="472" t="s">
        <v>364</v>
      </c>
      <c r="C48" s="281" t="s">
        <v>61</v>
      </c>
      <c r="D48" s="239" t="s">
        <v>268</v>
      </c>
      <c r="E48" s="239" t="s">
        <v>60</v>
      </c>
      <c r="F48" s="239" t="s">
        <v>341</v>
      </c>
      <c r="G48" s="239" t="s">
        <v>271</v>
      </c>
      <c r="H48" s="271">
        <v>1</v>
      </c>
      <c r="I48" s="286">
        <v>1537.29576</v>
      </c>
      <c r="J48" s="124">
        <v>36134.135000000002</v>
      </c>
      <c r="K48" s="124">
        <v>0</v>
      </c>
      <c r="L48" s="124">
        <v>0</v>
      </c>
      <c r="M48" s="124">
        <v>0</v>
      </c>
      <c r="N48" s="124">
        <f>SUM(K48:M48)</f>
        <v>0</v>
      </c>
      <c r="O48" s="439" t="s">
        <v>366</v>
      </c>
    </row>
    <row r="49" spans="1:15" s="155" customFormat="1" ht="18" hidden="1" customHeight="1">
      <c r="A49" s="447"/>
      <c r="B49" s="473"/>
      <c r="C49" s="68" t="s">
        <v>246</v>
      </c>
      <c r="D49" s="54" t="s">
        <v>30</v>
      </c>
      <c r="E49" s="54" t="s">
        <v>30</v>
      </c>
      <c r="F49" s="54" t="s">
        <v>30</v>
      </c>
      <c r="G49" s="54" t="s">
        <v>30</v>
      </c>
      <c r="H49" s="269"/>
      <c r="I49" s="263">
        <f>SUM(I48)</f>
        <v>1537.29576</v>
      </c>
      <c r="J49" s="69">
        <f>SUM(J48)</f>
        <v>36134.135000000002</v>
      </c>
      <c r="K49" s="69">
        <f t="shared" ref="K49:M49" si="11">SUM(K48)</f>
        <v>0</v>
      </c>
      <c r="L49" s="69">
        <f t="shared" si="11"/>
        <v>0</v>
      </c>
      <c r="M49" s="69">
        <f t="shared" si="11"/>
        <v>0</v>
      </c>
      <c r="N49" s="58">
        <f>SUM(K49:M49)</f>
        <v>0</v>
      </c>
      <c r="O49" s="441"/>
    </row>
    <row r="50" spans="1:15" s="219" customFormat="1" ht="19.5" customHeight="1">
      <c r="A50" s="217"/>
      <c r="B50" s="218" t="s">
        <v>113</v>
      </c>
      <c r="C50" s="217" t="s">
        <v>30</v>
      </c>
      <c r="D50" s="217" t="s">
        <v>30</v>
      </c>
      <c r="E50" s="217" t="s">
        <v>30</v>
      </c>
      <c r="F50" s="217" t="s">
        <v>30</v>
      </c>
      <c r="G50" s="217" t="s">
        <v>30</v>
      </c>
      <c r="H50" s="272"/>
      <c r="I50" s="261">
        <f>I16+I18+I28+I31+I43+I46</f>
        <v>172109.80768</v>
      </c>
      <c r="J50" s="261">
        <f>J16+J18+J23+J25+J28+J31+J34+J37+J40+J43+J46+J49</f>
        <v>310611.58499999996</v>
      </c>
      <c r="K50" s="261">
        <f>K16+K18+K23+K25+K28+K31+K34+K37+K40+K43+K46+K49</f>
        <v>266201.00637000002</v>
      </c>
      <c r="L50" s="261">
        <f>L16+L18+L23+L25+L28+L31+L34+L37+L40+L43+L46+L49</f>
        <v>278493.36300000001</v>
      </c>
      <c r="M50" s="261">
        <f>M16+M18+M23+M25+M28+M31+M34+M37+M40+M43+M46+M49</f>
        <v>278493.36300000001</v>
      </c>
      <c r="N50" s="261">
        <f>N16+N18+N23+N25+N28+N31+N34+N37+N40+N43+N46+N49</f>
        <v>823187.73236999998</v>
      </c>
      <c r="O50" s="217" t="s">
        <v>30</v>
      </c>
    </row>
    <row r="51" spans="1:15">
      <c r="N51" s="8"/>
      <c r="O51" s="8"/>
    </row>
  </sheetData>
  <autoFilter ref="A10:O51">
    <filterColumn colId="3" showButton="0"/>
    <filterColumn colId="4" showButton="0"/>
    <filterColumn colId="5" showButton="0"/>
    <filterColumn colId="9" showButton="0"/>
    <filterColumn colId="10" showButton="0"/>
    <filterColumn colId="11" showButton="0"/>
    <filterColumn colId="12" hiddenButton="1" showButton="0"/>
  </autoFilter>
  <mergeCells count="60">
    <mergeCell ref="N1:O1"/>
    <mergeCell ref="A17:A18"/>
    <mergeCell ref="A22:A23"/>
    <mergeCell ref="B22:B23"/>
    <mergeCell ref="A21:O21"/>
    <mergeCell ref="O17:O18"/>
    <mergeCell ref="O22:O23"/>
    <mergeCell ref="B17:B18"/>
    <mergeCell ref="A15:A16"/>
    <mergeCell ref="B15:B16"/>
    <mergeCell ref="A14:O14"/>
    <mergeCell ref="N4:O4"/>
    <mergeCell ref="A7:O7"/>
    <mergeCell ref="A8:O8"/>
    <mergeCell ref="B19:B20"/>
    <mergeCell ref="A19:A20"/>
    <mergeCell ref="A24:A25"/>
    <mergeCell ref="B24:B25"/>
    <mergeCell ref="O19:O20"/>
    <mergeCell ref="C10:C11"/>
    <mergeCell ref="D10:G10"/>
    <mergeCell ref="J10:N10"/>
    <mergeCell ref="O10:O11"/>
    <mergeCell ref="A13:O13"/>
    <mergeCell ref="A10:A11"/>
    <mergeCell ref="B10:B11"/>
    <mergeCell ref="O15:O16"/>
    <mergeCell ref="O24:O25"/>
    <mergeCell ref="A26:O26"/>
    <mergeCell ref="B27:B28"/>
    <mergeCell ref="A27:A28"/>
    <mergeCell ref="A30:A31"/>
    <mergeCell ref="B30:B31"/>
    <mergeCell ref="O30:O31"/>
    <mergeCell ref="A33:A34"/>
    <mergeCell ref="O27:O28"/>
    <mergeCell ref="A29:O29"/>
    <mergeCell ref="A36:A37"/>
    <mergeCell ref="A32:O32"/>
    <mergeCell ref="B33:B34"/>
    <mergeCell ref="A35:O35"/>
    <mergeCell ref="B36:B37"/>
    <mergeCell ref="O33:O34"/>
    <mergeCell ref="O36:O37"/>
    <mergeCell ref="A48:A49"/>
    <mergeCell ref="B48:B49"/>
    <mergeCell ref="O48:O49"/>
    <mergeCell ref="A47:N47"/>
    <mergeCell ref="A38:N38"/>
    <mergeCell ref="A45:A46"/>
    <mergeCell ref="B45:B46"/>
    <mergeCell ref="O45:O46"/>
    <mergeCell ref="O39:O40"/>
    <mergeCell ref="O42:O43"/>
    <mergeCell ref="A44:J44"/>
    <mergeCell ref="A42:A43"/>
    <mergeCell ref="A41:J41"/>
    <mergeCell ref="A39:A40"/>
    <mergeCell ref="B39:B40"/>
    <mergeCell ref="B42:B43"/>
  </mergeCells>
  <pageMargins left="0.78740157480314965" right="0.78740157480314965" top="1.1811023622047245" bottom="0.39370078740157483" header="0.31496062992125984" footer="0.31496062992125984"/>
  <pageSetup paperSize="9" scale="48" firstPageNumber="16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A1:N19"/>
  <sheetViews>
    <sheetView view="pageBreakPreview" topLeftCell="A4" zoomScaleNormal="85" zoomScaleSheetLayoutView="100" workbookViewId="0">
      <selection activeCell="Q14" sqref="Q14:Q15"/>
    </sheetView>
  </sheetViews>
  <sheetFormatPr defaultColWidth="9" defaultRowHeight="15.75" outlineLevelRow="1" outlineLevelCol="1"/>
  <cols>
    <col min="1" max="1" width="5.375" style="135" customWidth="1"/>
    <col min="2" max="2" width="42.125" style="136" customWidth="1"/>
    <col min="3" max="3" width="11.5" style="135" customWidth="1"/>
    <col min="4" max="4" width="13.25" style="136" customWidth="1"/>
    <col min="5" max="9" width="14.875" style="136" hidden="1" customWidth="1" outlineLevel="1"/>
    <col min="10" max="11" width="12.875" style="136" hidden="1" customWidth="1" outlineLevel="1"/>
    <col min="12" max="12" width="14.625" style="136" customWidth="1" collapsed="1"/>
    <col min="13" max="14" width="14.625" style="136" customWidth="1"/>
    <col min="15" max="16384" width="9" style="136"/>
  </cols>
  <sheetData>
    <row r="1" spans="1:14" ht="78.75" hidden="1" customHeight="1" outlineLevel="1">
      <c r="L1" s="426" t="s">
        <v>235</v>
      </c>
      <c r="M1" s="426"/>
      <c r="N1" s="426"/>
    </row>
    <row r="2" spans="1:14" hidden="1" outlineLevel="1"/>
    <row r="3" spans="1:14" hidden="1" outlineLevel="1"/>
    <row r="4" spans="1:14" ht="78.75" customHeight="1" collapsed="1">
      <c r="L4" s="425" t="s">
        <v>194</v>
      </c>
      <c r="M4" s="425"/>
      <c r="N4" s="425"/>
    </row>
    <row r="5" spans="1:14" ht="18.75">
      <c r="A5" s="138"/>
    </row>
    <row r="6" spans="1:14" ht="18.75">
      <c r="A6" s="138"/>
    </row>
    <row r="7" spans="1:14" ht="18.75">
      <c r="A7" s="430" t="s">
        <v>1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</row>
    <row r="8" spans="1:14" ht="48" customHeight="1">
      <c r="A8" s="435" t="s">
        <v>76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  <c r="N8" s="430"/>
    </row>
    <row r="9" spans="1:14" ht="18.75">
      <c r="A9" s="189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.75" customHeight="1">
      <c r="A10" s="421" t="s">
        <v>19</v>
      </c>
      <c r="B10" s="421" t="s">
        <v>42</v>
      </c>
      <c r="C10" s="421" t="s">
        <v>2</v>
      </c>
      <c r="D10" s="421" t="s">
        <v>43</v>
      </c>
      <c r="F10" s="259"/>
      <c r="G10" s="259"/>
      <c r="H10" s="259"/>
      <c r="I10" s="259"/>
      <c r="J10" s="489" t="s">
        <v>44</v>
      </c>
      <c r="K10" s="490"/>
      <c r="L10" s="490"/>
      <c r="M10" s="490"/>
      <c r="N10" s="491"/>
    </row>
    <row r="11" spans="1:14">
      <c r="A11" s="421"/>
      <c r="B11" s="421"/>
      <c r="C11" s="421"/>
      <c r="D11" s="421"/>
      <c r="E11" s="291">
        <v>2018</v>
      </c>
      <c r="F11" s="291">
        <v>2019</v>
      </c>
      <c r="G11" s="291">
        <v>2020</v>
      </c>
      <c r="H11" s="291">
        <v>2021</v>
      </c>
      <c r="I11" s="291">
        <v>2022</v>
      </c>
      <c r="J11" s="291">
        <v>2023</v>
      </c>
      <c r="K11" s="280">
        <v>2024</v>
      </c>
      <c r="L11" s="188">
        <v>2025</v>
      </c>
      <c r="M11" s="243">
        <f t="shared" ref="M11:N11" si="0">L11+1</f>
        <v>2026</v>
      </c>
      <c r="N11" s="243">
        <f t="shared" si="0"/>
        <v>2027</v>
      </c>
    </row>
    <row r="12" spans="1:14">
      <c r="A12" s="188">
        <v>1</v>
      </c>
      <c r="B12" s="188">
        <v>2</v>
      </c>
      <c r="C12" s="188">
        <v>3</v>
      </c>
      <c r="D12" s="188">
        <v>4</v>
      </c>
      <c r="E12" s="291"/>
      <c r="F12" s="291"/>
      <c r="G12" s="291"/>
      <c r="H12" s="291"/>
      <c r="I12" s="291"/>
      <c r="J12" s="291"/>
      <c r="K12" s="280">
        <v>5</v>
      </c>
      <c r="L12" s="188">
        <v>5</v>
      </c>
      <c r="M12" s="188">
        <v>6</v>
      </c>
      <c r="N12" s="188">
        <v>7</v>
      </c>
    </row>
    <row r="13" spans="1:14">
      <c r="A13" s="434" t="str">
        <f>'+пр к ПП3'!A13:O13</f>
        <v>Цель. Снижение числа лиц, погибших в результате ДТП, и количества ДТП с пострадавшими.</v>
      </c>
      <c r="B13" s="434"/>
      <c r="C13" s="434"/>
      <c r="D13" s="434"/>
      <c r="E13" s="434"/>
      <c r="F13" s="434"/>
      <c r="G13" s="434"/>
      <c r="H13" s="434"/>
      <c r="I13" s="434"/>
      <c r="J13" s="434"/>
      <c r="K13" s="434"/>
      <c r="L13" s="434"/>
      <c r="M13" s="434"/>
      <c r="N13" s="434"/>
    </row>
    <row r="14" spans="1:14" ht="41.25" customHeight="1">
      <c r="A14" s="434" t="str">
        <f>'+пр к ПП3'!A14:O14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4"/>
    </row>
    <row r="15" spans="1:14" s="162" customFormat="1" ht="63">
      <c r="A15" s="185" t="s">
        <v>3</v>
      </c>
      <c r="B15" s="186" t="s">
        <v>133</v>
      </c>
      <c r="C15" s="185" t="s">
        <v>134</v>
      </c>
      <c r="D15" s="185" t="s">
        <v>137</v>
      </c>
      <c r="E15" s="292">
        <f t="shared" ref="E15:H15" si="1">E16/E17*100000</f>
        <v>6.3227111785533641</v>
      </c>
      <c r="F15" s="292">
        <f t="shared" si="1"/>
        <v>12.836970474967908</v>
      </c>
      <c r="G15" s="292">
        <f t="shared" si="1"/>
        <v>0</v>
      </c>
      <c r="H15" s="292">
        <f t="shared" si="1"/>
        <v>0</v>
      </c>
      <c r="I15" s="292">
        <f t="shared" ref="I15:N15" si="2">I16/I17*100000</f>
        <v>0</v>
      </c>
      <c r="J15" s="292">
        <f>J16/J17*100000</f>
        <v>16.01152830037627</v>
      </c>
      <c r="K15" s="214">
        <f>K16/K17*100000</f>
        <v>8.1083272520878946</v>
      </c>
      <c r="L15" s="214">
        <f>L16/L17*100000</f>
        <v>8.2115289866973242</v>
      </c>
      <c r="M15" s="214">
        <f>M16/M17*100000</f>
        <v>8.3166999334664009</v>
      </c>
      <c r="N15" s="214">
        <f t="shared" si="2"/>
        <v>8.3703021679082603</v>
      </c>
    </row>
    <row r="16" spans="1:14" s="163" customFormat="1" ht="31.5" hidden="1" outlineLevel="1">
      <c r="A16" s="11"/>
      <c r="B16" s="202" t="s">
        <v>77</v>
      </c>
      <c r="C16" s="11"/>
      <c r="D16" s="11"/>
      <c r="E16" s="293">
        <v>1</v>
      </c>
      <c r="F16" s="293">
        <v>2</v>
      </c>
      <c r="G16" s="293">
        <v>0</v>
      </c>
      <c r="H16" s="293">
        <v>0</v>
      </c>
      <c r="I16" s="293">
        <v>0</v>
      </c>
      <c r="J16" s="294">
        <f>'пр к пасп'!N26</f>
        <v>2</v>
      </c>
      <c r="K16" s="215">
        <f>'пр к пасп'!O26</f>
        <v>1</v>
      </c>
      <c r="L16" s="294">
        <f>'пр к пасп'!P26</f>
        <v>1</v>
      </c>
      <c r="M16" s="294">
        <f>'пр к пасп'!Q26</f>
        <v>1</v>
      </c>
      <c r="N16" s="294">
        <f>'пр к пасп'!S26</f>
        <v>1</v>
      </c>
    </row>
    <row r="17" spans="1:14" s="163" customFormat="1" hidden="1" outlineLevel="1">
      <c r="A17" s="11"/>
      <c r="B17" s="202" t="s">
        <v>118</v>
      </c>
      <c r="C17" s="11"/>
      <c r="D17" s="11"/>
      <c r="E17" s="293">
        <f>'пр к пасп'!I24</f>
        <v>15816</v>
      </c>
      <c r="F17" s="293">
        <f>'пр к пасп'!J24</f>
        <v>15580</v>
      </c>
      <c r="G17" s="294">
        <f>'пр к пасп'!K24</f>
        <v>15432</v>
      </c>
      <c r="H17" s="294">
        <f>'пр к пасп'!L24</f>
        <v>15159</v>
      </c>
      <c r="I17" s="294">
        <f>'пр к пасп'!M24</f>
        <v>12573</v>
      </c>
      <c r="J17" s="242">
        <f>'пр к пасп'!N24</f>
        <v>12491</v>
      </c>
      <c r="K17" s="242">
        <f>'пр к пасп'!O24</f>
        <v>12333</v>
      </c>
      <c r="L17" s="242">
        <f>'пр к пасп'!P24</f>
        <v>12178</v>
      </c>
      <c r="M17" s="242">
        <f>'пр к пасп'!Q24</f>
        <v>12024</v>
      </c>
      <c r="N17" s="242">
        <f>'пр к пасп'!S24</f>
        <v>11947</v>
      </c>
    </row>
    <row r="18" spans="1:14" s="164" customFormat="1" ht="31.5" collapsed="1">
      <c r="A18" s="188" t="s">
        <v>81</v>
      </c>
      <c r="B18" s="192" t="s">
        <v>135</v>
      </c>
      <c r="C18" s="188" t="s">
        <v>136</v>
      </c>
      <c r="D18" s="188" t="s">
        <v>137</v>
      </c>
      <c r="E18" s="291">
        <v>0</v>
      </c>
      <c r="F18" s="291">
        <v>1</v>
      </c>
      <c r="G18" s="291">
        <v>0</v>
      </c>
      <c r="H18" s="291">
        <v>0</v>
      </c>
      <c r="I18" s="291">
        <v>0</v>
      </c>
      <c r="J18" s="292">
        <v>1</v>
      </c>
      <c r="K18" s="214">
        <v>0</v>
      </c>
      <c r="L18" s="214">
        <v>0</v>
      </c>
      <c r="M18" s="214">
        <v>0</v>
      </c>
      <c r="N18" s="214">
        <v>0</v>
      </c>
    </row>
    <row r="19" spans="1:14" ht="63" hidden="1">
      <c r="A19" s="188" t="s">
        <v>82</v>
      </c>
      <c r="B19" s="192" t="s">
        <v>277</v>
      </c>
      <c r="C19" s="188" t="s">
        <v>128</v>
      </c>
      <c r="D19" s="188" t="s">
        <v>278</v>
      </c>
      <c r="E19" s="257"/>
      <c r="F19" s="257"/>
      <c r="G19" s="257"/>
      <c r="H19" s="257"/>
      <c r="I19" s="139"/>
      <c r="J19" s="204">
        <v>10</v>
      </c>
      <c r="K19" s="280"/>
      <c r="L19" s="204">
        <v>20</v>
      </c>
      <c r="M19" s="204">
        <v>30</v>
      </c>
      <c r="N19" s="204">
        <v>35</v>
      </c>
    </row>
  </sheetData>
  <mergeCells count="11">
    <mergeCell ref="L1:N1"/>
    <mergeCell ref="A13:N13"/>
    <mergeCell ref="A14:N14"/>
    <mergeCell ref="L4:N4"/>
    <mergeCell ref="A7:N7"/>
    <mergeCell ref="A8:N8"/>
    <mergeCell ref="A10:A11"/>
    <mergeCell ref="B10:B11"/>
    <mergeCell ref="C10:C11"/>
    <mergeCell ref="D10:D11"/>
    <mergeCell ref="J10:N10"/>
  </mergeCells>
  <pageMargins left="0.78740157480314965" right="0.78740157480314965" top="1.1811023622047245" bottom="0.39370078740157483" header="0.31496062992125984" footer="0.31496062992125984"/>
  <pageSetup paperSize="9" firstPageNumber="39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A1:O26"/>
  <sheetViews>
    <sheetView view="pageBreakPreview" topLeftCell="A7" zoomScale="85" zoomScaleNormal="85" zoomScaleSheetLayoutView="85" workbookViewId="0">
      <selection activeCell="Q14" sqref="Q14:Q15"/>
    </sheetView>
  </sheetViews>
  <sheetFormatPr defaultColWidth="9" defaultRowHeight="18.75" outlineLevelRow="2" outlineLevelCol="1"/>
  <cols>
    <col min="1" max="1" width="4.75" style="147" customWidth="1"/>
    <col min="2" max="2" width="38.625" style="148" customWidth="1"/>
    <col min="3" max="3" width="34.75" style="148" customWidth="1"/>
    <col min="4" max="4" width="6.125" style="148" customWidth="1"/>
    <col min="5" max="5" width="6.875" style="148" customWidth="1"/>
    <col min="6" max="6" width="12" style="148" customWidth="1"/>
    <col min="7" max="7" width="5.75" style="148" customWidth="1"/>
    <col min="8" max="8" width="5.75" style="148" hidden="1" customWidth="1" outlineLevel="1"/>
    <col min="9" max="9" width="12.25" style="260" hidden="1" customWidth="1" outlineLevel="1"/>
    <col min="10" max="10" width="11.375" style="148" hidden="1" customWidth="1" outlineLevel="1"/>
    <col min="11" max="11" width="9.625" style="148" customWidth="1" collapsed="1"/>
    <col min="12" max="13" width="9.625" style="148" customWidth="1"/>
    <col min="14" max="14" width="17" style="148" customWidth="1"/>
    <col min="15" max="15" width="29.375" style="148" customWidth="1"/>
    <col min="16" max="16384" width="9" style="148"/>
  </cols>
  <sheetData>
    <row r="1" spans="1:15" ht="84" hidden="1" customHeight="1" outlineLevel="1">
      <c r="N1" s="499" t="s">
        <v>234</v>
      </c>
      <c r="O1" s="499"/>
    </row>
    <row r="2" spans="1:15" hidden="1" outlineLevel="1"/>
    <row r="3" spans="1:15" hidden="1" outlineLevel="1"/>
    <row r="4" spans="1:15" ht="88.5" customHeight="1" collapsed="1">
      <c r="A4" s="132"/>
      <c r="B4" s="8"/>
      <c r="C4" s="8"/>
      <c r="D4" s="8"/>
      <c r="E4" s="8"/>
      <c r="F4" s="8"/>
      <c r="G4" s="8"/>
      <c r="J4" s="8"/>
      <c r="K4" s="8"/>
      <c r="L4" s="8"/>
      <c r="M4" s="8"/>
      <c r="N4" s="449" t="s">
        <v>195</v>
      </c>
      <c r="O4" s="449"/>
    </row>
    <row r="5" spans="1:15">
      <c r="A5" s="132"/>
      <c r="B5" s="8"/>
      <c r="C5" s="8"/>
      <c r="D5" s="8"/>
      <c r="E5" s="8"/>
      <c r="F5" s="8"/>
      <c r="G5" s="8"/>
      <c r="J5" s="8"/>
      <c r="K5" s="8"/>
      <c r="L5" s="8"/>
      <c r="M5" s="8"/>
      <c r="N5" s="8"/>
      <c r="O5" s="8"/>
    </row>
    <row r="6" spans="1:15">
      <c r="A6" s="132"/>
      <c r="B6" s="8"/>
      <c r="C6" s="8"/>
      <c r="D6" s="8"/>
      <c r="E6" s="8"/>
      <c r="F6" s="8"/>
      <c r="G6" s="8"/>
      <c r="J6" s="8"/>
      <c r="K6" s="8"/>
      <c r="L6" s="8"/>
      <c r="M6" s="8"/>
      <c r="N6" s="8"/>
      <c r="O6" s="8"/>
    </row>
    <row r="7" spans="1:15">
      <c r="A7" s="452" t="s">
        <v>1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</row>
    <row r="8" spans="1:15">
      <c r="A8" s="452" t="s">
        <v>293</v>
      </c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</row>
    <row r="9" spans="1:15">
      <c r="A9" s="132"/>
      <c r="B9" s="8"/>
      <c r="C9" s="8"/>
      <c r="D9" s="8"/>
      <c r="E9" s="8"/>
      <c r="F9" s="8"/>
      <c r="G9" s="8"/>
      <c r="J9" s="8"/>
      <c r="K9" s="8"/>
      <c r="L9" s="8"/>
      <c r="M9" s="8"/>
      <c r="N9" s="8"/>
      <c r="O9" s="8"/>
    </row>
    <row r="10" spans="1:15" s="155" customFormat="1" ht="36.75" customHeight="1">
      <c r="A10" s="422" t="s">
        <v>19</v>
      </c>
      <c r="B10" s="422" t="s">
        <v>45</v>
      </c>
      <c r="C10" s="422" t="s">
        <v>25</v>
      </c>
      <c r="D10" s="422" t="s">
        <v>23</v>
      </c>
      <c r="E10" s="422"/>
      <c r="F10" s="422"/>
      <c r="G10" s="422"/>
      <c r="H10" s="256"/>
      <c r="I10" s="262"/>
      <c r="J10" s="422" t="s">
        <v>384</v>
      </c>
      <c r="K10" s="422"/>
      <c r="L10" s="422"/>
      <c r="M10" s="422"/>
      <c r="N10" s="422"/>
      <c r="O10" s="422" t="s">
        <v>47</v>
      </c>
    </row>
    <row r="11" spans="1:15" s="155" customFormat="1" ht="93" customHeight="1">
      <c r="A11" s="422"/>
      <c r="B11" s="422"/>
      <c r="C11" s="422"/>
      <c r="D11" s="129" t="s">
        <v>25</v>
      </c>
      <c r="E11" s="129" t="s">
        <v>26</v>
      </c>
      <c r="F11" s="129" t="s">
        <v>27</v>
      </c>
      <c r="G11" s="129" t="s">
        <v>28</v>
      </c>
      <c r="H11" s="256"/>
      <c r="I11" s="276">
        <v>2023</v>
      </c>
      <c r="J11" s="134">
        <v>2024</v>
      </c>
      <c r="K11" s="134">
        <f>J11+1</f>
        <v>2025</v>
      </c>
      <c r="L11" s="134">
        <f>K11+1</f>
        <v>2026</v>
      </c>
      <c r="M11" s="362">
        <v>2027</v>
      </c>
      <c r="N11" s="129" t="s">
        <v>48</v>
      </c>
      <c r="O11" s="422"/>
    </row>
    <row r="12" spans="1:15" s="155" customFormat="1" ht="15.75">
      <c r="A12" s="129">
        <v>1</v>
      </c>
      <c r="B12" s="129">
        <v>2</v>
      </c>
      <c r="C12" s="129">
        <v>3</v>
      </c>
      <c r="D12" s="129">
        <v>4</v>
      </c>
      <c r="E12" s="129">
        <v>5</v>
      </c>
      <c r="F12" s="129">
        <v>6</v>
      </c>
      <c r="G12" s="129">
        <v>7</v>
      </c>
      <c r="H12" s="256"/>
      <c r="I12" s="262"/>
      <c r="J12" s="129">
        <v>8</v>
      </c>
      <c r="K12" s="129">
        <v>8</v>
      </c>
      <c r="L12" s="129">
        <v>9</v>
      </c>
      <c r="M12" s="353">
        <v>10</v>
      </c>
      <c r="N12" s="129">
        <v>11</v>
      </c>
      <c r="O12" s="129">
        <v>12</v>
      </c>
    </row>
    <row r="13" spans="1:15" s="156" customFormat="1" ht="18.75" customHeight="1">
      <c r="A13" s="500" t="s">
        <v>158</v>
      </c>
      <c r="B13" s="500"/>
      <c r="C13" s="500"/>
      <c r="D13" s="500"/>
      <c r="E13" s="500"/>
      <c r="F13" s="500"/>
      <c r="G13" s="500"/>
      <c r="H13" s="500"/>
      <c r="I13" s="500"/>
      <c r="J13" s="500"/>
      <c r="K13" s="500"/>
      <c r="L13" s="500"/>
      <c r="M13" s="500"/>
      <c r="N13" s="500"/>
      <c r="O13" s="500"/>
    </row>
    <row r="14" spans="1:15" s="156" customFormat="1" ht="15.75">
      <c r="A14" s="500" t="s">
        <v>159</v>
      </c>
      <c r="B14" s="500"/>
      <c r="C14" s="500"/>
      <c r="D14" s="500"/>
      <c r="E14" s="500"/>
      <c r="F14" s="500"/>
      <c r="G14" s="500"/>
      <c r="H14" s="500"/>
      <c r="I14" s="500"/>
      <c r="J14" s="500"/>
      <c r="K14" s="500"/>
      <c r="L14" s="500"/>
      <c r="M14" s="500"/>
      <c r="N14" s="500"/>
      <c r="O14" s="500"/>
    </row>
    <row r="15" spans="1:15" s="165" customFormat="1" ht="24" customHeight="1" outlineLevel="2">
      <c r="A15" s="422" t="s">
        <v>3</v>
      </c>
      <c r="B15" s="496" t="s">
        <v>218</v>
      </c>
      <c r="C15" s="496" t="s">
        <v>203</v>
      </c>
      <c r="D15" s="497">
        <v>243</v>
      </c>
      <c r="E15" s="498" t="s">
        <v>201</v>
      </c>
      <c r="F15" s="133" t="s">
        <v>200</v>
      </c>
      <c r="G15" s="497">
        <v>244</v>
      </c>
      <c r="H15" s="274"/>
      <c r="I15" s="275"/>
      <c r="J15" s="66">
        <v>0</v>
      </c>
      <c r="K15" s="66">
        <v>0</v>
      </c>
      <c r="L15" s="66">
        <v>0</v>
      </c>
      <c r="M15" s="66">
        <v>0</v>
      </c>
      <c r="N15" s="66">
        <f>SUM(J15:M15)</f>
        <v>0</v>
      </c>
      <c r="O15" s="432" t="s">
        <v>369</v>
      </c>
    </row>
    <row r="16" spans="1:15" s="165" customFormat="1" ht="21.75" customHeight="1" outlineLevel="2">
      <c r="A16" s="422"/>
      <c r="B16" s="496"/>
      <c r="C16" s="496"/>
      <c r="D16" s="497"/>
      <c r="E16" s="498"/>
      <c r="F16" s="133" t="s">
        <v>202</v>
      </c>
      <c r="G16" s="497"/>
      <c r="H16" s="274"/>
      <c r="I16" s="275"/>
      <c r="J16" s="66">
        <v>0</v>
      </c>
      <c r="K16" s="66">
        <v>0</v>
      </c>
      <c r="L16" s="66">
        <v>0</v>
      </c>
      <c r="M16" s="66">
        <v>0</v>
      </c>
      <c r="N16" s="66">
        <f>SUM(J16:M16)</f>
        <v>0</v>
      </c>
      <c r="O16" s="432"/>
    </row>
    <row r="17" spans="1:15" s="165" customFormat="1" ht="15.75" outlineLevel="2">
      <c r="A17" s="422"/>
      <c r="B17" s="496"/>
      <c r="C17" s="68" t="s">
        <v>211</v>
      </c>
      <c r="D17" s="54" t="s">
        <v>30</v>
      </c>
      <c r="E17" s="54" t="s">
        <v>30</v>
      </c>
      <c r="F17" s="54" t="s">
        <v>30</v>
      </c>
      <c r="G17" s="54" t="s">
        <v>30</v>
      </c>
      <c r="H17" s="150"/>
      <c r="I17" s="263"/>
      <c r="J17" s="88">
        <f>J15+J16</f>
        <v>0</v>
      </c>
      <c r="K17" s="88">
        <f t="shared" ref="K17:L17" si="0">K15+K16</f>
        <v>0</v>
      </c>
      <c r="L17" s="88">
        <f t="shared" si="0"/>
        <v>0</v>
      </c>
      <c r="M17" s="88">
        <f>SUM(M15:M16)</f>
        <v>0</v>
      </c>
      <c r="N17" s="88">
        <f>SUM(K17:M17)</f>
        <v>0</v>
      </c>
      <c r="O17" s="432"/>
    </row>
    <row r="18" spans="1:15" s="373" customFormat="1" ht="57.75" customHeight="1" outlineLevel="1">
      <c r="A18" s="422" t="s">
        <v>3</v>
      </c>
      <c r="B18" s="496" t="s">
        <v>264</v>
      </c>
      <c r="C18" s="357" t="s">
        <v>62</v>
      </c>
      <c r="D18" s="356">
        <v>247</v>
      </c>
      <c r="E18" s="358" t="s">
        <v>58</v>
      </c>
      <c r="F18" s="358" t="s">
        <v>297</v>
      </c>
      <c r="G18" s="356">
        <v>540</v>
      </c>
      <c r="H18" s="356"/>
      <c r="I18" s="372"/>
      <c r="J18" s="66">
        <v>0</v>
      </c>
      <c r="K18" s="66">
        <v>0</v>
      </c>
      <c r="L18" s="66">
        <v>0</v>
      </c>
      <c r="M18" s="66">
        <v>0</v>
      </c>
      <c r="N18" s="66">
        <f>SUM(J18:M18)</f>
        <v>0</v>
      </c>
      <c r="O18" s="432" t="s">
        <v>370</v>
      </c>
    </row>
    <row r="19" spans="1:15" s="373" customFormat="1" ht="15.75" outlineLevel="1">
      <c r="A19" s="422"/>
      <c r="B19" s="496"/>
      <c r="C19" s="68" t="s">
        <v>246</v>
      </c>
      <c r="D19" s="54" t="s">
        <v>30</v>
      </c>
      <c r="E19" s="54" t="s">
        <v>30</v>
      </c>
      <c r="F19" s="54" t="s">
        <v>30</v>
      </c>
      <c r="G19" s="54" t="s">
        <v>30</v>
      </c>
      <c r="H19" s="54"/>
      <c r="I19" s="330"/>
      <c r="J19" s="88">
        <f>J18</f>
        <v>0</v>
      </c>
      <c r="K19" s="88">
        <f t="shared" ref="K19:L19" si="1">K18</f>
        <v>0</v>
      </c>
      <c r="L19" s="88">
        <f t="shared" si="1"/>
        <v>0</v>
      </c>
      <c r="M19" s="88">
        <f>SUM(M18)</f>
        <v>0</v>
      </c>
      <c r="N19" s="88">
        <f>SUM(K19:M19)</f>
        <v>0</v>
      </c>
      <c r="O19" s="432"/>
    </row>
    <row r="20" spans="1:15" s="373" customFormat="1" ht="63" customHeight="1" outlineLevel="1">
      <c r="A20" s="422" t="s">
        <v>79</v>
      </c>
      <c r="B20" s="496" t="s">
        <v>236</v>
      </c>
      <c r="C20" s="357" t="s">
        <v>237</v>
      </c>
      <c r="D20" s="356">
        <v>244</v>
      </c>
      <c r="E20" s="358" t="s">
        <v>58</v>
      </c>
      <c r="F20" s="358" t="s">
        <v>238</v>
      </c>
      <c r="G20" s="356">
        <v>244</v>
      </c>
      <c r="H20" s="356"/>
      <c r="I20" s="372"/>
      <c r="J20" s="66">
        <v>0</v>
      </c>
      <c r="K20" s="66">
        <v>0</v>
      </c>
      <c r="L20" s="66">
        <v>0</v>
      </c>
      <c r="M20" s="66">
        <v>0</v>
      </c>
      <c r="N20" s="66">
        <f>SUM(J20:M20)</f>
        <v>0</v>
      </c>
      <c r="O20" s="439" t="s">
        <v>371</v>
      </c>
    </row>
    <row r="21" spans="1:15" s="373" customFormat="1" ht="15.75" outlineLevel="1">
      <c r="A21" s="422"/>
      <c r="B21" s="496"/>
      <c r="C21" s="68" t="s">
        <v>246</v>
      </c>
      <c r="D21" s="54" t="s">
        <v>30</v>
      </c>
      <c r="E21" s="54" t="s">
        <v>30</v>
      </c>
      <c r="F21" s="54" t="s">
        <v>30</v>
      </c>
      <c r="G21" s="54" t="s">
        <v>30</v>
      </c>
      <c r="H21" s="54"/>
      <c r="I21" s="330"/>
      <c r="J21" s="88">
        <f>J20</f>
        <v>0</v>
      </c>
      <c r="K21" s="88">
        <f t="shared" ref="K21:L23" si="2">K20</f>
        <v>0</v>
      </c>
      <c r="L21" s="88">
        <f t="shared" si="2"/>
        <v>0</v>
      </c>
      <c r="M21" s="88">
        <f>SUM(M20)</f>
        <v>0</v>
      </c>
      <c r="N21" s="88">
        <f>SUM(K21:M21)</f>
        <v>0</v>
      </c>
      <c r="O21" s="441"/>
    </row>
    <row r="22" spans="1:15" s="373" customFormat="1" ht="47.25" customHeight="1" outlineLevel="1">
      <c r="A22" s="494" t="s">
        <v>81</v>
      </c>
      <c r="B22" s="492" t="s">
        <v>270</v>
      </c>
      <c r="C22" s="182" t="s">
        <v>62</v>
      </c>
      <c r="D22" s="374" t="s">
        <v>271</v>
      </c>
      <c r="E22" s="374" t="s">
        <v>58</v>
      </c>
      <c r="F22" s="374" t="s">
        <v>272</v>
      </c>
      <c r="G22" s="374" t="s">
        <v>273</v>
      </c>
      <c r="H22" s="374"/>
      <c r="I22" s="375"/>
      <c r="J22" s="376">
        <v>0</v>
      </c>
      <c r="K22" s="376">
        <v>0</v>
      </c>
      <c r="L22" s="376">
        <v>0</v>
      </c>
      <c r="M22" s="376">
        <v>0</v>
      </c>
      <c r="N22" s="376">
        <f>L22+K22+J22</f>
        <v>0</v>
      </c>
      <c r="O22" s="439" t="s">
        <v>270</v>
      </c>
    </row>
    <row r="23" spans="1:15" s="373" customFormat="1" ht="15.75" outlineLevel="1">
      <c r="A23" s="495"/>
      <c r="B23" s="493"/>
      <c r="C23" s="68" t="s">
        <v>246</v>
      </c>
      <c r="D23" s="54" t="s">
        <v>30</v>
      </c>
      <c r="E23" s="54" t="s">
        <v>30</v>
      </c>
      <c r="F23" s="54" t="s">
        <v>30</v>
      </c>
      <c r="G23" s="54" t="s">
        <v>30</v>
      </c>
      <c r="H23" s="54"/>
      <c r="I23" s="330"/>
      <c r="J23" s="88">
        <f>J22</f>
        <v>0</v>
      </c>
      <c r="K23" s="88">
        <f t="shared" si="2"/>
        <v>0</v>
      </c>
      <c r="L23" s="88">
        <f t="shared" si="2"/>
        <v>0</v>
      </c>
      <c r="M23" s="88">
        <f>SUM(M22)</f>
        <v>0</v>
      </c>
      <c r="N23" s="88">
        <f>SUM(K23:M23)</f>
        <v>0</v>
      </c>
      <c r="O23" s="441"/>
    </row>
    <row r="24" spans="1:15" s="373" customFormat="1" ht="54.75" customHeight="1" outlineLevel="1">
      <c r="A24" s="494" t="s">
        <v>81</v>
      </c>
      <c r="B24" s="492" t="s">
        <v>344</v>
      </c>
      <c r="C24" s="182" t="s">
        <v>62</v>
      </c>
      <c r="D24" s="374" t="s">
        <v>273</v>
      </c>
      <c r="E24" s="374" t="s">
        <v>63</v>
      </c>
      <c r="F24" s="374" t="s">
        <v>343</v>
      </c>
      <c r="G24" s="374" t="s">
        <v>273</v>
      </c>
      <c r="H24" s="374" t="s">
        <v>337</v>
      </c>
      <c r="I24" s="377">
        <v>3734.2281800000001</v>
      </c>
      <c r="J24" s="376">
        <v>0</v>
      </c>
      <c r="K24" s="376">
        <v>0</v>
      </c>
      <c r="L24" s="376">
        <v>0</v>
      </c>
      <c r="M24" s="376">
        <v>0</v>
      </c>
      <c r="N24" s="376">
        <f>L24+K24+J24</f>
        <v>0</v>
      </c>
      <c r="O24" s="439" t="s">
        <v>372</v>
      </c>
    </row>
    <row r="25" spans="1:15" s="373" customFormat="1" ht="15.75" outlineLevel="1">
      <c r="A25" s="495"/>
      <c r="B25" s="493"/>
      <c r="C25" s="68" t="s">
        <v>246</v>
      </c>
      <c r="D25" s="54" t="s">
        <v>30</v>
      </c>
      <c r="E25" s="54" t="s">
        <v>30</v>
      </c>
      <c r="F25" s="54" t="s">
        <v>30</v>
      </c>
      <c r="G25" s="54" t="s">
        <v>30</v>
      </c>
      <c r="H25" s="54"/>
      <c r="I25" s="330">
        <f>SUM(I24)</f>
        <v>3734.2281800000001</v>
      </c>
      <c r="J25" s="88">
        <f>J24</f>
        <v>0</v>
      </c>
      <c r="K25" s="88">
        <f t="shared" ref="K25:L25" si="3">K24</f>
        <v>0</v>
      </c>
      <c r="L25" s="88">
        <f t="shared" si="3"/>
        <v>0</v>
      </c>
      <c r="M25" s="88">
        <f>SUM(M24)</f>
        <v>0</v>
      </c>
      <c r="N25" s="88">
        <f>SUM(K25:M25)</f>
        <v>0</v>
      </c>
      <c r="O25" s="441"/>
    </row>
    <row r="26" spans="1:15">
      <c r="A26" s="51"/>
      <c r="B26" s="52" t="s">
        <v>113</v>
      </c>
      <c r="C26" s="51" t="s">
        <v>30</v>
      </c>
      <c r="D26" s="51" t="s">
        <v>30</v>
      </c>
      <c r="E26" s="51" t="s">
        <v>30</v>
      </c>
      <c r="F26" s="51" t="s">
        <v>30</v>
      </c>
      <c r="G26" s="51" t="s">
        <v>30</v>
      </c>
      <c r="H26" s="265"/>
      <c r="I26" s="264">
        <f>I25+I23+I21+I19+I17</f>
        <v>3734.2281800000001</v>
      </c>
      <c r="J26" s="183">
        <f>J17+J19+J21+J23</f>
        <v>0</v>
      </c>
      <c r="K26" s="183">
        <f>K17+K19+K21+K23</f>
        <v>0</v>
      </c>
      <c r="L26" s="183">
        <f>L17+L19+L21+L23</f>
        <v>0</v>
      </c>
      <c r="M26" s="183">
        <f>SUM(M25+M23+M21+M19+M17)</f>
        <v>0</v>
      </c>
      <c r="N26" s="183">
        <f>SUM(K26:M26)</f>
        <v>0</v>
      </c>
      <c r="O26" s="51" t="s">
        <v>30</v>
      </c>
    </row>
  </sheetData>
  <autoFilter ref="A10:O14">
    <filterColumn colId="3" showButton="0"/>
    <filterColumn colId="4" showButton="0"/>
    <filterColumn colId="5" showButton="0"/>
    <filterColumn colId="9" showButton="0"/>
    <filterColumn colId="10" showButton="0"/>
    <filterColumn colId="11" showButton="0"/>
    <filterColumn colId="12" hiddenButton="1" showButton="0"/>
  </autoFilter>
  <mergeCells count="31">
    <mergeCell ref="N1:O1"/>
    <mergeCell ref="A14:O14"/>
    <mergeCell ref="A13:O13"/>
    <mergeCell ref="N4:O4"/>
    <mergeCell ref="A7:O7"/>
    <mergeCell ref="A8:O8"/>
    <mergeCell ref="A10:A11"/>
    <mergeCell ref="B10:B11"/>
    <mergeCell ref="C10:C11"/>
    <mergeCell ref="D10:G10"/>
    <mergeCell ref="J10:N10"/>
    <mergeCell ref="O10:O11"/>
    <mergeCell ref="G15:G16"/>
    <mergeCell ref="O15:O17"/>
    <mergeCell ref="A18:A19"/>
    <mergeCell ref="B18:B19"/>
    <mergeCell ref="O18:O19"/>
    <mergeCell ref="C15:C16"/>
    <mergeCell ref="B15:B17"/>
    <mergeCell ref="A15:A17"/>
    <mergeCell ref="D15:D16"/>
    <mergeCell ref="E15:E16"/>
    <mergeCell ref="B22:B23"/>
    <mergeCell ref="A22:A23"/>
    <mergeCell ref="A20:A21"/>
    <mergeCell ref="B20:B21"/>
    <mergeCell ref="O24:O25"/>
    <mergeCell ref="A24:A25"/>
    <mergeCell ref="O22:O23"/>
    <mergeCell ref="O20:O21"/>
    <mergeCell ref="B24:B25"/>
  </mergeCells>
  <pageMargins left="0.78740157480314965" right="0.78740157480314965" top="1.1811023622047245" bottom="0.39370078740157483" header="0.31496062992125984" footer="0.31496062992125984"/>
  <pageSetup paperSize="9" scale="64" firstPageNumber="40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499984740745262"/>
    <pageSetUpPr fitToPage="1"/>
  </sheetPr>
  <dimension ref="A1:I12"/>
  <sheetViews>
    <sheetView view="pageBreakPreview" zoomScale="70" zoomScaleNormal="70" zoomScaleSheetLayoutView="70" workbookViewId="0">
      <selection activeCell="Q14" sqref="Q14:Q15"/>
    </sheetView>
  </sheetViews>
  <sheetFormatPr defaultColWidth="9" defaultRowHeight="15.75" outlineLevelCol="1"/>
  <cols>
    <col min="1" max="1" width="5.375" style="135" customWidth="1"/>
    <col min="2" max="2" width="70.375" style="136" customWidth="1"/>
    <col min="3" max="3" width="11.5" style="135" customWidth="1"/>
    <col min="4" max="4" width="14.875" style="136" customWidth="1"/>
    <col min="5" max="5" width="12.875" style="136" hidden="1" customWidth="1" outlineLevel="1"/>
    <col min="6" max="6" width="12" style="136" hidden="1" customWidth="1" outlineLevel="1"/>
    <col min="7" max="7" width="12" style="136" customWidth="1" collapsed="1"/>
    <col min="8" max="9" width="12" style="136" customWidth="1"/>
    <col min="10" max="16384" width="9" style="136"/>
  </cols>
  <sheetData>
    <row r="1" spans="1:9" ht="92.25" customHeight="1">
      <c r="A1" s="2"/>
      <c r="B1" s="1"/>
      <c r="C1" s="2"/>
      <c r="D1" s="1"/>
      <c r="E1" s="1"/>
      <c r="F1" s="425" t="s">
        <v>385</v>
      </c>
      <c r="G1" s="425"/>
      <c r="H1" s="425"/>
      <c r="I1" s="425"/>
    </row>
    <row r="2" spans="1:9" ht="18.75">
      <c r="A2" s="189"/>
      <c r="B2" s="1"/>
      <c r="C2" s="2"/>
      <c r="D2" s="1"/>
      <c r="E2" s="1"/>
      <c r="F2" s="1"/>
      <c r="G2" s="1"/>
      <c r="H2" s="1"/>
      <c r="I2" s="1"/>
    </row>
    <row r="3" spans="1:9" ht="18.75">
      <c r="A3" s="189"/>
      <c r="B3" s="1"/>
      <c r="C3" s="2"/>
      <c r="D3" s="1"/>
      <c r="E3" s="1"/>
      <c r="F3" s="1"/>
      <c r="G3" s="1"/>
      <c r="H3" s="1"/>
      <c r="I3" s="1"/>
    </row>
    <row r="4" spans="1:9" ht="18.75">
      <c r="A4" s="430" t="s">
        <v>1</v>
      </c>
      <c r="B4" s="430"/>
      <c r="C4" s="430"/>
      <c r="D4" s="430"/>
      <c r="E4" s="430"/>
      <c r="F4" s="430"/>
      <c r="G4" s="430"/>
      <c r="H4" s="430"/>
      <c r="I4" s="430"/>
    </row>
    <row r="5" spans="1:9" ht="48" customHeight="1">
      <c r="A5" s="435" t="s">
        <v>152</v>
      </c>
      <c r="B5" s="430"/>
      <c r="C5" s="430"/>
      <c r="D5" s="430"/>
      <c r="E5" s="430"/>
      <c r="F5" s="430"/>
      <c r="G5" s="430"/>
      <c r="H5" s="430"/>
      <c r="I5" s="430"/>
    </row>
    <row r="6" spans="1:9" ht="18.75">
      <c r="A6" s="189"/>
      <c r="B6" s="1"/>
      <c r="C6" s="2"/>
      <c r="D6" s="1"/>
      <c r="E6" s="1"/>
      <c r="F6" s="1"/>
      <c r="G6" s="1"/>
      <c r="H6" s="1"/>
      <c r="I6" s="1"/>
    </row>
    <row r="7" spans="1:9">
      <c r="A7" s="421" t="s">
        <v>19</v>
      </c>
      <c r="B7" s="421" t="s">
        <v>42</v>
      </c>
      <c r="C7" s="421" t="s">
        <v>2</v>
      </c>
      <c r="D7" s="421" t="s">
        <v>43</v>
      </c>
      <c r="E7" s="421" t="s">
        <v>44</v>
      </c>
      <c r="F7" s="421"/>
      <c r="G7" s="421"/>
      <c r="H7" s="421"/>
      <c r="I7" s="421"/>
    </row>
    <row r="8" spans="1:9">
      <c r="A8" s="421"/>
      <c r="B8" s="421"/>
      <c r="C8" s="421"/>
      <c r="D8" s="421"/>
      <c r="E8" s="188">
        <v>2023</v>
      </c>
      <c r="F8" s="188">
        <v>2024</v>
      </c>
      <c r="G8" s="188">
        <v>2025</v>
      </c>
      <c r="H8" s="280">
        <v>2026</v>
      </c>
      <c r="I8" s="188">
        <v>2027</v>
      </c>
    </row>
    <row r="9" spans="1:9">
      <c r="A9" s="188">
        <v>1</v>
      </c>
      <c r="B9" s="188">
        <v>2</v>
      </c>
      <c r="C9" s="188">
        <v>3</v>
      </c>
      <c r="D9" s="188">
        <v>4</v>
      </c>
      <c r="E9" s="188">
        <v>5</v>
      </c>
      <c r="F9" s="188">
        <v>5</v>
      </c>
      <c r="G9" s="188">
        <v>5</v>
      </c>
      <c r="H9" s="280">
        <v>6</v>
      </c>
      <c r="I9" s="188">
        <v>7</v>
      </c>
    </row>
    <row r="10" spans="1:9">
      <c r="A10" s="434" t="str">
        <f>'+пр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434"/>
      <c r="C10" s="434"/>
      <c r="D10" s="434"/>
      <c r="E10" s="434"/>
      <c r="F10" s="434"/>
      <c r="G10" s="434"/>
      <c r="H10" s="434"/>
      <c r="I10" s="434"/>
    </row>
    <row r="11" spans="1:9">
      <c r="A11" s="434" t="str">
        <f>'+пр к ПП4'!A14</f>
        <v>Задача 1. Создание условий, обеспечивающих доступность внутризоновой, междугородней и международной связи.</v>
      </c>
      <c r="B11" s="434"/>
      <c r="C11" s="434"/>
      <c r="D11" s="434"/>
      <c r="E11" s="434"/>
      <c r="F11" s="434"/>
      <c r="G11" s="434"/>
      <c r="H11" s="434"/>
      <c r="I11" s="434"/>
    </row>
    <row r="12" spans="1:9" s="166" customFormat="1" ht="82.5" customHeight="1">
      <c r="A12" s="188" t="s">
        <v>3</v>
      </c>
      <c r="B12" s="191" t="s">
        <v>223</v>
      </c>
      <c r="C12" s="188" t="s">
        <v>69</v>
      </c>
      <c r="D12" s="188" t="s">
        <v>196</v>
      </c>
      <c r="E12" s="208">
        <v>1</v>
      </c>
      <c r="F12" s="208">
        <v>1</v>
      </c>
      <c r="G12" s="208">
        <f t="shared" ref="G12" si="0">F12</f>
        <v>1</v>
      </c>
      <c r="H12" s="208">
        <v>1</v>
      </c>
      <c r="I12" s="208">
        <f>G12</f>
        <v>1</v>
      </c>
    </row>
  </sheetData>
  <mergeCells count="10">
    <mergeCell ref="A10:I10"/>
    <mergeCell ref="A11:I11"/>
    <mergeCell ref="F1:I1"/>
    <mergeCell ref="A4:I4"/>
    <mergeCell ref="A5:I5"/>
    <mergeCell ref="A7:A8"/>
    <mergeCell ref="B7:B8"/>
    <mergeCell ref="C7:C8"/>
    <mergeCell ref="D7:D8"/>
    <mergeCell ref="E7:I7"/>
  </mergeCells>
  <pageMargins left="0.78740157480314965" right="0.78740157480314965" top="1.1811023622047245" bottom="0.39370078740157483" header="0.31496062992125984" footer="0.31496062992125984"/>
  <pageSetup paperSize="9" scale="86" firstPageNumber="41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 tint="-0.499984740745262"/>
    <pageSetUpPr fitToPage="1"/>
  </sheetPr>
  <dimension ref="A1:V32"/>
  <sheetViews>
    <sheetView view="pageBreakPreview" topLeftCell="A10" zoomScale="70" zoomScaleSheetLayoutView="70" workbookViewId="0">
      <selection activeCell="N1" sqref="N1:O1"/>
    </sheetView>
  </sheetViews>
  <sheetFormatPr defaultColWidth="9" defaultRowHeight="18.75" outlineLevelRow="1" outlineLevelCol="1"/>
  <cols>
    <col min="1" max="1" width="4.75" style="148" customWidth="1"/>
    <col min="2" max="2" width="49.625" style="148" customWidth="1"/>
    <col min="3" max="3" width="24.75" style="148" customWidth="1"/>
    <col min="4" max="5" width="7.375" style="148" customWidth="1"/>
    <col min="6" max="6" width="21" style="148" customWidth="1"/>
    <col min="7" max="7" width="5.75" style="148" customWidth="1"/>
    <col min="8" max="8" width="5.5" style="148" hidden="1" customWidth="1" outlineLevel="1"/>
    <col min="9" max="9" width="13.125" style="403" hidden="1" customWidth="1" outlineLevel="1"/>
    <col min="10" max="10" width="15.25" style="404" hidden="1" customWidth="1" outlineLevel="1"/>
    <col min="11" max="11" width="15.25" style="148" bestFit="1" customWidth="1" collapsed="1"/>
    <col min="12" max="12" width="13.75" style="148" bestFit="1" customWidth="1"/>
    <col min="13" max="13" width="13.75" style="148" customWidth="1"/>
    <col min="14" max="14" width="20" style="148" customWidth="1"/>
    <col min="15" max="15" width="24.5" style="148" customWidth="1"/>
    <col min="16" max="16384" width="9" style="148"/>
  </cols>
  <sheetData>
    <row r="1" spans="1:15" ht="84" customHeight="1" outlineLevel="1">
      <c r="N1" s="448" t="s">
        <v>399</v>
      </c>
      <c r="O1" s="448"/>
    </row>
    <row r="2" spans="1:15" outlineLevel="1"/>
    <row r="3" spans="1:15" outlineLevel="1"/>
    <row r="4" spans="1:15" ht="63" customHeight="1">
      <c r="A4" s="8"/>
      <c r="B4" s="8"/>
      <c r="C4" s="8"/>
      <c r="D4" s="8"/>
      <c r="E4" s="8"/>
      <c r="F4" s="8"/>
      <c r="G4" s="8"/>
      <c r="K4" s="8"/>
      <c r="L4" s="8"/>
      <c r="M4" s="8"/>
      <c r="N4" s="449" t="s">
        <v>386</v>
      </c>
      <c r="O4" s="449"/>
    </row>
    <row r="5" spans="1:15">
      <c r="A5" s="9"/>
      <c r="B5" s="8"/>
      <c r="C5" s="8"/>
      <c r="D5" s="8"/>
      <c r="E5" s="8"/>
      <c r="F5" s="8"/>
      <c r="G5" s="8"/>
      <c r="K5" s="8"/>
      <c r="L5" s="8"/>
      <c r="M5" s="8"/>
      <c r="N5" s="8"/>
      <c r="O5" s="8"/>
    </row>
    <row r="6" spans="1:15">
      <c r="A6" s="9"/>
      <c r="B6" s="8"/>
      <c r="C6" s="8"/>
      <c r="D6" s="8"/>
      <c r="E6" s="8"/>
      <c r="F6" s="8"/>
      <c r="G6" s="8"/>
      <c r="K6" s="8"/>
      <c r="L6" s="8"/>
      <c r="M6" s="8"/>
      <c r="N6" s="8"/>
      <c r="O6" s="8"/>
    </row>
    <row r="7" spans="1:15">
      <c r="A7" s="452" t="s">
        <v>1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</row>
    <row r="8" spans="1:15">
      <c r="A8" s="452" t="s">
        <v>162</v>
      </c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</row>
    <row r="9" spans="1:15">
      <c r="A9" s="9"/>
      <c r="B9" s="8"/>
      <c r="C9" s="8"/>
      <c r="D9" s="8"/>
      <c r="E9" s="8"/>
      <c r="F9" s="8"/>
      <c r="G9" s="8"/>
      <c r="K9" s="8"/>
      <c r="L9" s="8"/>
      <c r="M9" s="8"/>
      <c r="N9" s="8"/>
      <c r="O9" s="8"/>
    </row>
    <row r="10" spans="1:15" s="155" customFormat="1" ht="15.75">
      <c r="A10" s="422" t="s">
        <v>19</v>
      </c>
      <c r="B10" s="422" t="s">
        <v>45</v>
      </c>
      <c r="C10" s="422" t="s">
        <v>25</v>
      </c>
      <c r="D10" s="422" t="s">
        <v>23</v>
      </c>
      <c r="E10" s="422"/>
      <c r="F10" s="422"/>
      <c r="G10" s="422"/>
      <c r="H10" s="256"/>
      <c r="I10" s="405"/>
      <c r="J10" s="422" t="s">
        <v>46</v>
      </c>
      <c r="K10" s="422"/>
      <c r="L10" s="422"/>
      <c r="M10" s="422"/>
      <c r="N10" s="422"/>
      <c r="O10" s="422" t="s">
        <v>47</v>
      </c>
    </row>
    <row r="11" spans="1:15" s="155" customFormat="1" ht="93" customHeight="1">
      <c r="A11" s="422"/>
      <c r="B11" s="422"/>
      <c r="C11" s="422"/>
      <c r="D11" s="129" t="s">
        <v>25</v>
      </c>
      <c r="E11" s="129" t="s">
        <v>26</v>
      </c>
      <c r="F11" s="129" t="s">
        <v>27</v>
      </c>
      <c r="G11" s="129" t="s">
        <v>28</v>
      </c>
      <c r="H11" s="256"/>
      <c r="I11" s="406">
        <v>2023</v>
      </c>
      <c r="J11" s="406">
        <f>I11+1</f>
        <v>2024</v>
      </c>
      <c r="K11" s="134">
        <f>J11+1</f>
        <v>2025</v>
      </c>
      <c r="L11" s="134">
        <f>K11+1</f>
        <v>2026</v>
      </c>
      <c r="M11" s="326">
        <v>2027</v>
      </c>
      <c r="N11" s="129" t="s">
        <v>48</v>
      </c>
      <c r="O11" s="422"/>
    </row>
    <row r="12" spans="1:15" s="155" customFormat="1" ht="15.75">
      <c r="A12" s="129">
        <v>1</v>
      </c>
      <c r="B12" s="129">
        <v>2</v>
      </c>
      <c r="C12" s="129">
        <v>3</v>
      </c>
      <c r="D12" s="129">
        <v>4</v>
      </c>
      <c r="E12" s="129">
        <v>5</v>
      </c>
      <c r="F12" s="129">
        <v>6</v>
      </c>
      <c r="G12" s="129">
        <v>7</v>
      </c>
      <c r="H12" s="256"/>
      <c r="I12" s="405"/>
      <c r="J12" s="407">
        <v>8</v>
      </c>
      <c r="K12" s="129">
        <v>8</v>
      </c>
      <c r="L12" s="129">
        <v>9</v>
      </c>
      <c r="M12" s="324">
        <v>10</v>
      </c>
      <c r="N12" s="129">
        <v>11</v>
      </c>
      <c r="O12" s="129">
        <v>12</v>
      </c>
    </row>
    <row r="13" spans="1:15" s="156" customFormat="1" ht="18.75" customHeight="1">
      <c r="A13" s="480" t="s">
        <v>160</v>
      </c>
      <c r="B13" s="481"/>
      <c r="C13" s="481"/>
      <c r="D13" s="481"/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2"/>
    </row>
    <row r="14" spans="1:15" s="156" customFormat="1" ht="18" customHeight="1">
      <c r="A14" s="480" t="s">
        <v>161</v>
      </c>
      <c r="B14" s="481"/>
      <c r="C14" s="481"/>
      <c r="D14" s="481"/>
      <c r="E14" s="481"/>
      <c r="F14" s="481"/>
      <c r="G14" s="481"/>
      <c r="H14" s="481"/>
      <c r="I14" s="481"/>
      <c r="J14" s="481"/>
      <c r="K14" s="481"/>
      <c r="L14" s="481"/>
      <c r="M14" s="481"/>
      <c r="N14" s="481"/>
      <c r="O14" s="482"/>
    </row>
    <row r="15" spans="1:15" s="165" customFormat="1" ht="61.5" customHeight="1">
      <c r="A15" s="442" t="s">
        <v>3</v>
      </c>
      <c r="B15" s="439" t="s">
        <v>222</v>
      </c>
      <c r="C15" s="397" t="s">
        <v>61</v>
      </c>
      <c r="D15" s="129">
        <v>241</v>
      </c>
      <c r="E15" s="57" t="s">
        <v>63</v>
      </c>
      <c r="F15" s="92" t="s">
        <v>186</v>
      </c>
      <c r="G15" s="129">
        <v>244</v>
      </c>
      <c r="H15" s="256">
        <v>1</v>
      </c>
      <c r="I15" s="408">
        <v>11000.00008</v>
      </c>
      <c r="J15" s="409">
        <v>15590.18</v>
      </c>
      <c r="K15" s="113">
        <v>11999.999959999999</v>
      </c>
      <c r="L15" s="113">
        <f t="shared" ref="L15" si="0">10600+5000</f>
        <v>15600</v>
      </c>
      <c r="M15" s="113">
        <v>15600</v>
      </c>
      <c r="N15" s="33">
        <f>SUM(K15:M15)</f>
        <v>43199.999960000001</v>
      </c>
      <c r="O15" s="442" t="s">
        <v>138</v>
      </c>
    </row>
    <row r="16" spans="1:15" s="165" customFormat="1" ht="15.75">
      <c r="A16" s="444"/>
      <c r="B16" s="441"/>
      <c r="C16" s="68" t="s">
        <v>246</v>
      </c>
      <c r="D16" s="54" t="s">
        <v>30</v>
      </c>
      <c r="E16" s="54" t="s">
        <v>30</v>
      </c>
      <c r="F16" s="54" t="s">
        <v>30</v>
      </c>
      <c r="G16" s="54" t="s">
        <v>30</v>
      </c>
      <c r="H16" s="150"/>
      <c r="I16" s="410">
        <f>SUM(I15)</f>
        <v>11000.00008</v>
      </c>
      <c r="J16" s="411">
        <f>J15</f>
        <v>15590.18</v>
      </c>
      <c r="K16" s="55">
        <f t="shared" ref="K16:L16" si="1">K15</f>
        <v>11999.999959999999</v>
      </c>
      <c r="L16" s="55">
        <f t="shared" si="1"/>
        <v>15600</v>
      </c>
      <c r="M16" s="55">
        <f>SUM(M15)</f>
        <v>15600</v>
      </c>
      <c r="N16" s="58">
        <f>SUM(K16:M16)</f>
        <v>43199.999960000001</v>
      </c>
      <c r="O16" s="444"/>
    </row>
    <row r="17" spans="1:22" s="165" customFormat="1" ht="33.75" customHeight="1" outlineLevel="1">
      <c r="A17" s="442" t="s">
        <v>79</v>
      </c>
      <c r="B17" s="439" t="s">
        <v>228</v>
      </c>
      <c r="C17" s="439" t="s">
        <v>90</v>
      </c>
      <c r="D17" s="442">
        <v>242</v>
      </c>
      <c r="E17" s="450" t="s">
        <v>229</v>
      </c>
      <c r="F17" s="501" t="s">
        <v>284</v>
      </c>
      <c r="G17" s="442">
        <v>244</v>
      </c>
      <c r="H17" s="254">
        <v>1</v>
      </c>
      <c r="I17" s="412">
        <v>6.1649500000000002</v>
      </c>
      <c r="J17" s="409">
        <v>0</v>
      </c>
      <c r="K17" s="113">
        <v>0</v>
      </c>
      <c r="L17" s="113">
        <v>0</v>
      </c>
      <c r="M17" s="113">
        <v>0</v>
      </c>
      <c r="N17" s="123">
        <f>SUM(J17:L17)</f>
        <v>0</v>
      </c>
      <c r="O17" s="442" t="s">
        <v>138</v>
      </c>
    </row>
    <row r="18" spans="1:22" s="165" customFormat="1" ht="33.75" customHeight="1" outlineLevel="1">
      <c r="A18" s="443"/>
      <c r="B18" s="440"/>
      <c r="C18" s="441"/>
      <c r="D18" s="444"/>
      <c r="E18" s="451"/>
      <c r="F18" s="502"/>
      <c r="G18" s="444"/>
      <c r="H18" s="255">
        <v>10</v>
      </c>
      <c r="I18" s="413">
        <v>1226.82412</v>
      </c>
      <c r="J18" s="409">
        <v>0</v>
      </c>
      <c r="K18" s="113">
        <v>0</v>
      </c>
      <c r="L18" s="113">
        <v>0</v>
      </c>
      <c r="M18" s="113">
        <v>0</v>
      </c>
      <c r="N18" s="123">
        <f>SUM(J18:L18)</f>
        <v>0</v>
      </c>
      <c r="O18" s="443"/>
    </row>
    <row r="19" spans="1:22" s="165" customFormat="1" ht="15.75" outlineLevel="1">
      <c r="A19" s="444"/>
      <c r="B19" s="441"/>
      <c r="C19" s="54" t="s">
        <v>211</v>
      </c>
      <c r="D19" s="54" t="s">
        <v>30</v>
      </c>
      <c r="E19" s="54" t="s">
        <v>30</v>
      </c>
      <c r="F19" s="54" t="s">
        <v>30</v>
      </c>
      <c r="G19" s="54" t="s">
        <v>30</v>
      </c>
      <c r="H19" s="150"/>
      <c r="I19" s="410">
        <f>SUM(I17:I18)</f>
        <v>1232.9890700000001</v>
      </c>
      <c r="J19" s="411">
        <f>J17+J18</f>
        <v>0</v>
      </c>
      <c r="K19" s="55">
        <f t="shared" ref="K19:L19" si="2">K17+K18</f>
        <v>0</v>
      </c>
      <c r="L19" s="55">
        <f t="shared" si="2"/>
        <v>0</v>
      </c>
      <c r="M19" s="55">
        <v>0</v>
      </c>
      <c r="N19" s="58">
        <f>SUM(K19:M19)</f>
        <v>0</v>
      </c>
      <c r="O19" s="444"/>
    </row>
    <row r="20" spans="1:22" s="165" customFormat="1" ht="15.75" outlineLevel="1">
      <c r="A20" s="503" t="s">
        <v>389</v>
      </c>
      <c r="B20" s="504"/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4"/>
      <c r="N20" s="505"/>
    </row>
    <row r="21" spans="1:22" s="165" customFormat="1" ht="31.5" outlineLevel="1">
      <c r="A21" s="442" t="s">
        <v>390</v>
      </c>
      <c r="B21" s="507" t="s">
        <v>391</v>
      </c>
      <c r="C21" s="396" t="s">
        <v>61</v>
      </c>
      <c r="D21" s="395">
        <v>241</v>
      </c>
      <c r="E21" s="510" t="s">
        <v>229</v>
      </c>
      <c r="F21" s="510" t="s">
        <v>392</v>
      </c>
      <c r="G21" s="510" t="s">
        <v>271</v>
      </c>
      <c r="H21" s="392" t="s">
        <v>337</v>
      </c>
      <c r="I21" s="410"/>
      <c r="J21" s="414">
        <f>9820/1000</f>
        <v>9.82</v>
      </c>
      <c r="K21" s="393">
        <f>9976.36/1000</f>
        <v>9.9763600000000014</v>
      </c>
      <c r="L21" s="393">
        <v>0</v>
      </c>
      <c r="M21" s="394">
        <v>0</v>
      </c>
      <c r="N21" s="394">
        <v>0</v>
      </c>
      <c r="O21" s="494" t="s">
        <v>393</v>
      </c>
    </row>
    <row r="22" spans="1:22" s="165" customFormat="1" ht="63" outlineLevel="1">
      <c r="A22" s="443"/>
      <c r="B22" s="509"/>
      <c r="C22" s="396" t="s">
        <v>90</v>
      </c>
      <c r="D22" s="395">
        <v>242</v>
      </c>
      <c r="E22" s="511"/>
      <c r="F22" s="512"/>
      <c r="G22" s="512"/>
      <c r="H22" s="392" t="s">
        <v>337</v>
      </c>
      <c r="I22" s="410"/>
      <c r="J22" s="414"/>
      <c r="K22" s="393">
        <f>1755/1000</f>
        <v>1.7549999999999999</v>
      </c>
      <c r="L22" s="393"/>
      <c r="M22" s="394"/>
      <c r="N22" s="394"/>
      <c r="O22" s="506"/>
    </row>
    <row r="23" spans="1:22" s="165" customFormat="1" ht="31.5" outlineLevel="1">
      <c r="A23" s="443"/>
      <c r="B23" s="507" t="s">
        <v>394</v>
      </c>
      <c r="C23" s="396" t="s">
        <v>61</v>
      </c>
      <c r="D23" s="395">
        <v>241</v>
      </c>
      <c r="E23" s="511"/>
      <c r="F23" s="510" t="s">
        <v>395</v>
      </c>
      <c r="G23" s="510" t="s">
        <v>271</v>
      </c>
      <c r="H23" s="392" t="s">
        <v>396</v>
      </c>
      <c r="I23" s="410"/>
      <c r="J23" s="414">
        <f>1954180/1000</f>
        <v>1954.18</v>
      </c>
      <c r="K23" s="393">
        <f>1985295.31/1000</f>
        <v>1985.29531</v>
      </c>
      <c r="L23" s="393">
        <v>0</v>
      </c>
      <c r="M23" s="394">
        <v>0</v>
      </c>
      <c r="N23" s="394">
        <v>0</v>
      </c>
      <c r="O23" s="495"/>
    </row>
    <row r="24" spans="1:22" s="165" customFormat="1" ht="63" outlineLevel="1">
      <c r="A24" s="443"/>
      <c r="B24" s="508"/>
      <c r="C24" s="396" t="s">
        <v>90</v>
      </c>
      <c r="D24" s="395">
        <v>242</v>
      </c>
      <c r="E24" s="512"/>
      <c r="F24" s="512"/>
      <c r="G24" s="512"/>
      <c r="H24" s="392" t="s">
        <v>396</v>
      </c>
      <c r="I24" s="410"/>
      <c r="J24" s="414"/>
      <c r="K24" s="393">
        <f>349245/1000</f>
        <v>349.245</v>
      </c>
      <c r="L24" s="393"/>
      <c r="M24" s="394"/>
      <c r="N24" s="394"/>
      <c r="O24" s="398"/>
    </row>
    <row r="25" spans="1:22" s="165" customFormat="1" ht="15.75" outlineLevel="1">
      <c r="A25" s="444"/>
      <c r="B25" s="509"/>
      <c r="C25" s="54" t="s">
        <v>211</v>
      </c>
      <c r="D25" s="54" t="s">
        <v>30</v>
      </c>
      <c r="E25" s="54" t="s">
        <v>30</v>
      </c>
      <c r="F25" s="54" t="s">
        <v>30</v>
      </c>
      <c r="G25" s="54" t="s">
        <v>30</v>
      </c>
      <c r="H25" s="150"/>
      <c r="I25" s="410">
        <f>SUM(I21:I23)</f>
        <v>0</v>
      </c>
      <c r="J25" s="411">
        <f>J21+J23</f>
        <v>1964</v>
      </c>
      <c r="K25" s="55">
        <f t="shared" ref="K25:L25" si="3">K21+K23</f>
        <v>1995.2716700000001</v>
      </c>
      <c r="L25" s="55">
        <f t="shared" si="3"/>
        <v>0</v>
      </c>
      <c r="M25" s="55">
        <v>0</v>
      </c>
      <c r="N25" s="58">
        <f>SUM(K25:M25)</f>
        <v>1995.2716700000001</v>
      </c>
      <c r="O25" s="391"/>
    </row>
    <row r="26" spans="1:22">
      <c r="A26" s="51"/>
      <c r="B26" s="52" t="s">
        <v>113</v>
      </c>
      <c r="C26" s="51" t="s">
        <v>30</v>
      </c>
      <c r="D26" s="51" t="s">
        <v>30</v>
      </c>
      <c r="E26" s="51" t="s">
        <v>30</v>
      </c>
      <c r="F26" s="51" t="s">
        <v>30</v>
      </c>
      <c r="G26" s="51" t="s">
        <v>30</v>
      </c>
      <c r="H26" s="265"/>
      <c r="I26" s="415">
        <f>I16+I19</f>
        <v>12232.989149999999</v>
      </c>
      <c r="J26" s="416">
        <f>J16+J19+J25</f>
        <v>17554.18</v>
      </c>
      <c r="K26" s="53">
        <f>K16+K19+K25</f>
        <v>13995.271629999999</v>
      </c>
      <c r="L26" s="53">
        <f t="shared" ref="L26:N26" si="4">L16+L19+L25</f>
        <v>15600</v>
      </c>
      <c r="M26" s="53">
        <f t="shared" si="4"/>
        <v>15600</v>
      </c>
      <c r="N26" s="53">
        <f t="shared" si="4"/>
        <v>45195.271630000003</v>
      </c>
      <c r="O26" s="59" t="s">
        <v>30</v>
      </c>
      <c r="V26" s="148" t="s">
        <v>209</v>
      </c>
    </row>
    <row r="27" spans="1:22">
      <c r="F27" s="167"/>
      <c r="G27" s="167"/>
      <c r="H27" s="167"/>
      <c r="I27" s="417"/>
      <c r="J27" s="418"/>
    </row>
    <row r="30" spans="1:22">
      <c r="J30" s="419">
        <v>1954180</v>
      </c>
    </row>
    <row r="31" spans="1:22">
      <c r="J31" s="419">
        <v>15590180</v>
      </c>
    </row>
    <row r="32" spans="1:22">
      <c r="J32" s="419">
        <v>9820</v>
      </c>
    </row>
  </sheetData>
  <autoFilter ref="A10:O14">
    <filterColumn colId="3" showButton="0"/>
    <filterColumn colId="4" showButton="0"/>
    <filterColumn colId="5" showButton="0"/>
    <filterColumn colId="9" showButton="0"/>
    <filterColumn colId="10" showButton="0"/>
    <filterColumn colId="11" showButton="0"/>
    <filterColumn colId="12" hiddenButton="1" showButton="0"/>
  </autoFilter>
  <mergeCells count="33">
    <mergeCell ref="A20:N20"/>
    <mergeCell ref="O21:O23"/>
    <mergeCell ref="B23:B25"/>
    <mergeCell ref="A21:A25"/>
    <mergeCell ref="B21:B22"/>
    <mergeCell ref="E21:E24"/>
    <mergeCell ref="F21:F22"/>
    <mergeCell ref="F23:F24"/>
    <mergeCell ref="G21:G22"/>
    <mergeCell ref="G23:G24"/>
    <mergeCell ref="F17:F18"/>
    <mergeCell ref="N1:O1"/>
    <mergeCell ref="A17:A19"/>
    <mergeCell ref="B17:B19"/>
    <mergeCell ref="O17:O19"/>
    <mergeCell ref="C17:C18"/>
    <mergeCell ref="D17:D18"/>
    <mergeCell ref="E17:E18"/>
    <mergeCell ref="G17:G18"/>
    <mergeCell ref="B15:B16"/>
    <mergeCell ref="A15:A16"/>
    <mergeCell ref="O15:O16"/>
    <mergeCell ref="A14:O14"/>
    <mergeCell ref="A13:O13"/>
    <mergeCell ref="N4:O4"/>
    <mergeCell ref="A7:O7"/>
    <mergeCell ref="A8:O8"/>
    <mergeCell ref="O10:O11"/>
    <mergeCell ref="A10:A11"/>
    <mergeCell ref="B10:B11"/>
    <mergeCell ref="C10:C11"/>
    <mergeCell ref="D10:G10"/>
    <mergeCell ref="J10:N10"/>
  </mergeCells>
  <pageMargins left="0.78740157480314965" right="0.78740157480314965" top="1.1811023622047245" bottom="0.39370078740157483" header="0.31496062992125984" footer="0.31496062992125984"/>
  <pageSetup paperSize="9" scale="58" firstPageNumber="17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21</vt:i4>
      </vt:variant>
    </vt:vector>
  </HeadingPairs>
  <TitlesOfParts>
    <vt:vector size="39" baseType="lpstr">
      <vt:lpstr>пр к пасп</vt:lpstr>
      <vt:lpstr>пр к пасп ПП1</vt:lpstr>
      <vt:lpstr>пр к ПП1</vt:lpstr>
      <vt:lpstr>+ пр к пасп ПП2</vt:lpstr>
      <vt:lpstr>+ пр к ПП2</vt:lpstr>
      <vt:lpstr>+ пр к пасп ПП3</vt:lpstr>
      <vt:lpstr>+пр к ПП3</vt:lpstr>
      <vt:lpstr>+пр к пасп ПП4</vt:lpstr>
      <vt:lpstr>+пр к ПП4</vt:lpstr>
      <vt:lpstr>пр 5 к МП</vt:lpstr>
      <vt:lpstr>+ Приложение 6</vt:lpstr>
      <vt:lpstr>+ Приложение 7</vt:lpstr>
      <vt:lpstr>Лист2</vt:lpstr>
      <vt:lpstr>Лист1</vt:lpstr>
      <vt:lpstr>пп1</vt:lpstr>
      <vt:lpstr>пп2</vt:lpstr>
      <vt:lpstr>пп3</vt:lpstr>
      <vt:lpstr>пп4</vt:lpstr>
      <vt:lpstr>'+ пр к пасп ПП2'!Заголовки_для_печати</vt:lpstr>
      <vt:lpstr>'+ пр к пасп ПП3'!Заголовки_для_печати</vt:lpstr>
      <vt:lpstr>'+ Приложение 6'!Заголовки_для_печати</vt:lpstr>
      <vt:lpstr>'+ Приложение 7'!Заголовки_для_печати</vt:lpstr>
      <vt:lpstr>'+пр к пасп ПП4'!Заголовки_для_печати</vt:lpstr>
      <vt:lpstr>'+пр к ПП3'!Заголовки_для_печати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'+ пр к пасп ПП2'!Область_печати</vt:lpstr>
      <vt:lpstr>'+ пр к пасп ПП3'!Область_печати</vt:lpstr>
      <vt:lpstr>'+ пр к ПП2'!Область_печати</vt:lpstr>
      <vt:lpstr>'+ Приложение 6'!Область_печати</vt:lpstr>
      <vt:lpstr>'+ Приложение 7'!Область_печати</vt:lpstr>
      <vt:lpstr>'+пр к ПП3'!Область_печати</vt:lpstr>
      <vt:lpstr>'+пр к ПП4'!Область_печати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Делопроизводитель</cp:lastModifiedBy>
  <cp:lastPrinted>2025-12-02T10:14:50Z</cp:lastPrinted>
  <dcterms:created xsi:type="dcterms:W3CDTF">2016-10-20T04:37:12Z</dcterms:created>
  <dcterms:modified xsi:type="dcterms:W3CDTF">2025-12-08T07:33:23Z</dcterms:modified>
</cp:coreProperties>
</file>