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2\УПРАВЛЕНИЕ ЭКОНОМИКИ\МУЧКАЕВА ИЗМЕНЕНИЯ В НПА\ТРАНСПОРТ\ИЗМЕНЕНИЯ В ПРОГРАММУ\-п транспорт изменения 3 (августовская сессия)\отдельные файлы\"/>
    </mc:Choice>
  </mc:AlternateContent>
  <bookViews>
    <workbookView xWindow="0" yWindow="0" windowWidth="38400" windowHeight="10830" tabRatio="899" firstSheet="3" activeTab="4"/>
  </bookViews>
  <sheets>
    <sheet name="пр к пасп" sheetId="2" state="hidden" r:id="rId1"/>
    <sheet name="пр к пасп ПП1" sheetId="7" state="hidden" r:id="rId2"/>
    <sheet name="пр к ПП1" sheetId="8" state="hidden" r:id="rId3"/>
    <sheet name="пр к пасп ПП2" sheetId="18" r:id="rId4"/>
    <sheet name="пр к ПП2" sheetId="15" r:id="rId5"/>
    <sheet name="пр к пасп ПП3" sheetId="19" state="hidden" r:id="rId6"/>
    <sheet name="пр к ПП3" sheetId="16" state="hidden" r:id="rId7"/>
    <sheet name="пр к пасп ПП4" sheetId="20" state="hidden" r:id="rId8"/>
    <sheet name="пр к ПП4" sheetId="17" state="hidden" r:id="rId9"/>
    <sheet name="пр 5 к МП" sheetId="3" state="hidden" r:id="rId10"/>
    <sheet name="Приложение 6" sheetId="5" r:id="rId11"/>
    <sheet name="Приложение 7" sheetId="6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definedNames>
    <definedName name="_xlnm._FilterDatabase" localSheetId="2" hidden="1">'пр к ПП1'!$A$10:$L$22</definedName>
    <definedName name="_xlnm._FilterDatabase" localSheetId="4" hidden="1">'пр к ПП2'!$A$10:$L$17</definedName>
    <definedName name="_xlnm._FilterDatabase" localSheetId="6" hidden="1">'пр к ПП3'!$A$10:$L$14</definedName>
    <definedName name="_xlnm._FilterDatabase" localSheetId="8" hidden="1">'пр к ПП4'!$A$10:$L$14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3">'пр к пасп ПП2'!$10:$12</definedName>
    <definedName name="_xlnm.Print_Titles" localSheetId="5">'пр к пасп ПП3'!$10:$12</definedName>
    <definedName name="_xlnm.Print_Titles" localSheetId="7">'пр к пасп ПП4'!$7:$9</definedName>
    <definedName name="_xlnm.Print_Titles" localSheetId="2">'пр к ПП1'!$10:$12</definedName>
    <definedName name="_xlnm.Print_Titles" localSheetId="6">'пр к ПП3'!$10:$11</definedName>
    <definedName name="_xlnm.Print_Titles" localSheetId="10">'Приложение 6'!$13:$15</definedName>
    <definedName name="_xlnm.Print_Titles" localSheetId="11">'Приложение 7'!$15:$17</definedName>
    <definedName name="_xlnm.Print_Area" localSheetId="9">'пр 5 к МП'!$A$1:$E$34</definedName>
    <definedName name="_xlnm.Print_Area" localSheetId="0">'пр к пасп'!$A$1:$Q$29</definedName>
    <definedName name="_xlnm.Print_Area" localSheetId="1">'пр к пасп ПП1'!$A$4:$H$18</definedName>
    <definedName name="_xlnm.Print_Area" localSheetId="3">'пр к пасп ПП2'!$A$1:$H$31</definedName>
    <definedName name="_xlnm.Print_Area" localSheetId="5">'пр к пасп ПП3'!$A$1:$I$21</definedName>
    <definedName name="_xlnm.Print_Area" localSheetId="2">'пр к ПП1'!$A$1:$L$35</definedName>
    <definedName name="_xlnm.Print_Area" localSheetId="4">'пр к ПП2'!$A$1:$L$44</definedName>
    <definedName name="_xlnm.Print_Area" localSheetId="6">'пр к ПП3'!$A$1:$L$24</definedName>
    <definedName name="_xlnm.Print_Area" localSheetId="8">'пр к ПП4'!$A$1:$L$25</definedName>
    <definedName name="_xlnm.Print_Area" localSheetId="10">'Приложение 6'!$A$1:$L$43</definedName>
    <definedName name="_xlnm.Print_Area" localSheetId="11">'Приложение 7'!$A$1:$R$52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" i="6" l="1"/>
  <c r="J28" i="5" l="1"/>
  <c r="J43" i="15"/>
  <c r="K28" i="5" s="1"/>
  <c r="I43" i="15"/>
  <c r="H43" i="15"/>
  <c r="K42" i="15"/>
  <c r="K43" i="15" s="1"/>
  <c r="K33" i="15" l="1"/>
  <c r="N36" i="6" l="1"/>
  <c r="O36" i="6"/>
  <c r="F11" i="18"/>
  <c r="G11" i="18" s="1"/>
  <c r="H11" i="18" s="1"/>
  <c r="A20" i="18" l="1"/>
  <c r="A17" i="18"/>
  <c r="A28" i="18"/>
  <c r="A26" i="18"/>
  <c r="A24" i="18"/>
  <c r="A22" i="18"/>
  <c r="H36" i="15"/>
  <c r="I28" i="5" l="1"/>
  <c r="M36" i="6"/>
  <c r="P36" i="6" s="1"/>
  <c r="M19" i="2"/>
  <c r="L19" i="2"/>
  <c r="M18" i="2"/>
  <c r="N18" i="2" s="1"/>
  <c r="X16" i="2"/>
  <c r="O18" i="2" l="1"/>
  <c r="N19" i="2"/>
  <c r="F17" i="19"/>
  <c r="M22" i="2"/>
  <c r="N22" i="2" s="1"/>
  <c r="O22" i="2" s="1"/>
  <c r="P22" i="2" s="1"/>
  <c r="Q22" i="2" s="1"/>
  <c r="P18" i="2" l="1"/>
  <c r="O19" i="2"/>
  <c r="F16" i="18"/>
  <c r="G16" i="18" s="1"/>
  <c r="H16" i="18" s="1"/>
  <c r="F15" i="18"/>
  <c r="G15" i="18" s="1"/>
  <c r="H15" i="18" s="1"/>
  <c r="Q18" i="2" l="1"/>
  <c r="Q19" i="2" s="1"/>
  <c r="P19" i="2"/>
  <c r="H21" i="8"/>
  <c r="K29" i="6" l="1"/>
  <c r="K28" i="6"/>
  <c r="H23" i="18" l="1"/>
  <c r="R33" i="6" l="1"/>
  <c r="J25" i="5"/>
  <c r="K25" i="5"/>
  <c r="J24" i="5"/>
  <c r="K24" i="5"/>
  <c r="I25" i="5"/>
  <c r="I24" i="5"/>
  <c r="L24" i="5" l="1"/>
  <c r="L25" i="5"/>
  <c r="L22" i="5"/>
  <c r="I22" i="5"/>
  <c r="I54" i="15" l="1"/>
  <c r="J54" i="15"/>
  <c r="H54" i="15"/>
  <c r="J37" i="15"/>
  <c r="I37" i="15"/>
  <c r="H37" i="15"/>
  <c r="K36" i="15"/>
  <c r="K37" i="15" s="1"/>
  <c r="J34" i="15"/>
  <c r="I34" i="15"/>
  <c r="H34" i="15"/>
  <c r="K34" i="15"/>
  <c r="L21" i="6"/>
  <c r="L22" i="6"/>
  <c r="L46" i="6"/>
  <c r="L39" i="6"/>
  <c r="L32" i="6"/>
  <c r="L25" i="6"/>
  <c r="L18" i="6" l="1"/>
  <c r="J31" i="15"/>
  <c r="I31" i="15"/>
  <c r="H31" i="15"/>
  <c r="K30" i="15"/>
  <c r="K31" i="15" l="1"/>
  <c r="K33" i="8"/>
  <c r="I13" i="5" l="1"/>
  <c r="K26" i="8" l="1"/>
  <c r="H28" i="8"/>
  <c r="K27" i="8"/>
  <c r="H16" i="15" l="1"/>
  <c r="K32" i="6" l="1"/>
  <c r="N23" i="8" l="1"/>
  <c r="N22" i="8"/>
  <c r="U17" i="6"/>
  <c r="U18" i="6" s="1"/>
  <c r="N24" i="8" l="1"/>
  <c r="U34" i="6" l="1"/>
  <c r="V34" i="6" s="1"/>
  <c r="E15" i="19" l="1"/>
  <c r="M24" i="2" l="1"/>
  <c r="N24" i="2" s="1"/>
  <c r="O24" i="2" s="1"/>
  <c r="P24" i="2" s="1"/>
  <c r="Q24" i="2" s="1"/>
  <c r="K23" i="2"/>
  <c r="X19" i="2"/>
  <c r="V20" i="2"/>
  <c r="J22" i="2"/>
  <c r="M23" i="2" l="1"/>
  <c r="N23" i="2" s="1"/>
  <c r="O23" i="2" s="1"/>
  <c r="P23" i="2" s="1"/>
  <c r="Q23" i="2" s="1"/>
  <c r="K20" i="6"/>
  <c r="K21" i="6"/>
  <c r="K22" i="6"/>
  <c r="K23" i="6"/>
  <c r="K24" i="6"/>
  <c r="K25" i="6"/>
  <c r="K39" i="6"/>
  <c r="K46" i="6"/>
  <c r="K18" i="6" l="1"/>
  <c r="J20" i="15"/>
  <c r="I20" i="15"/>
  <c r="H20" i="15"/>
  <c r="K20" i="15" l="1"/>
  <c r="K17" i="15"/>
  <c r="S21" i="15"/>
  <c r="S22" i="15"/>
  <c r="S23" i="15"/>
  <c r="Q25" i="15"/>
  <c r="S18" i="15"/>
  <c r="S25" i="15" l="1"/>
  <c r="S27" i="15" s="1"/>
  <c r="S28" i="15" s="1"/>
  <c r="J40" i="15"/>
  <c r="I40" i="15"/>
  <c r="H40" i="15"/>
  <c r="K39" i="15"/>
  <c r="K40" i="15" s="1"/>
  <c r="H27" i="18"/>
  <c r="P28" i="6" l="1"/>
  <c r="J28" i="6"/>
  <c r="R28" i="6" s="1"/>
  <c r="J29" i="6"/>
  <c r="J22" i="5" l="1"/>
  <c r="J34" i="8"/>
  <c r="I34" i="8"/>
  <c r="H34" i="8"/>
  <c r="K34" i="8" l="1"/>
  <c r="J50" i="6"/>
  <c r="V50" i="6" s="1"/>
  <c r="Y50" i="6"/>
  <c r="J49" i="6"/>
  <c r="V49" i="6" s="1"/>
  <c r="J32" i="6" l="1"/>
  <c r="N42" i="6" l="1"/>
  <c r="O42" i="6"/>
  <c r="M42" i="6"/>
  <c r="R42" i="6" s="1"/>
  <c r="J23" i="16"/>
  <c r="I23" i="16"/>
  <c r="H23" i="16"/>
  <c r="K22" i="16"/>
  <c r="K20" i="8"/>
  <c r="K23" i="16" l="1"/>
  <c r="I28" i="15"/>
  <c r="J28" i="15"/>
  <c r="H28" i="15"/>
  <c r="K27" i="15"/>
  <c r="K28" i="15" l="1"/>
  <c r="M26" i="2"/>
  <c r="M49" i="6" l="1"/>
  <c r="M50" i="6"/>
  <c r="J21" i="6"/>
  <c r="J20" i="6"/>
  <c r="J23" i="6"/>
  <c r="J24" i="6"/>
  <c r="J43" i="6"/>
  <c r="J46" i="6"/>
  <c r="Z50" i="6" s="1"/>
  <c r="J22" i="6" l="1"/>
  <c r="M21" i="6"/>
  <c r="J39" i="6"/>
  <c r="J25" i="6"/>
  <c r="C18" i="6"/>
  <c r="J18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K31" i="8" l="1"/>
  <c r="H32" i="8"/>
  <c r="I32" i="8"/>
  <c r="J32" i="8"/>
  <c r="I28" i="8"/>
  <c r="J28" i="8"/>
  <c r="K25" i="8"/>
  <c r="I24" i="22" s="1"/>
  <c r="K32" i="8" l="1"/>
  <c r="H46" i="6"/>
  <c r="E10" i="21" l="1"/>
  <c r="E11" i="21"/>
  <c r="E12" i="21"/>
  <c r="E9" i="21"/>
  <c r="F7" i="21"/>
  <c r="G7" i="21"/>
  <c r="E8" i="21" l="1"/>
  <c r="F25" i="22"/>
  <c r="J30" i="8"/>
  <c r="I30" i="8"/>
  <c r="H30" i="8"/>
  <c r="K29" i="8"/>
  <c r="I25" i="22" s="1"/>
  <c r="K30" i="8" l="1"/>
  <c r="K22" i="5" l="1"/>
  <c r="N22" i="5" s="1"/>
  <c r="O22" i="5" s="1"/>
  <c r="G16" i="19" l="1"/>
  <c r="H16" i="19"/>
  <c r="I16" i="19"/>
  <c r="G15" i="19" l="1"/>
  <c r="J15" i="17"/>
  <c r="K37" i="5" s="1"/>
  <c r="J37" i="5"/>
  <c r="R52" i="6"/>
  <c r="R51" i="6"/>
  <c r="R48" i="6"/>
  <c r="R47" i="6"/>
  <c r="R45" i="6"/>
  <c r="R44" i="6"/>
  <c r="R41" i="6"/>
  <c r="R40" i="6"/>
  <c r="R38" i="6"/>
  <c r="R37" i="6"/>
  <c r="R35" i="6"/>
  <c r="R34" i="6"/>
  <c r="R31" i="6"/>
  <c r="R30" i="6"/>
  <c r="R27" i="6"/>
  <c r="R26" i="6"/>
  <c r="J13" i="5"/>
  <c r="G4" i="22" s="1"/>
  <c r="K13" i="5"/>
  <c r="H4" i="22" s="1"/>
  <c r="F4" i="22"/>
  <c r="N20" i="6"/>
  <c r="O20" i="6"/>
  <c r="N23" i="6"/>
  <c r="O23" i="6"/>
  <c r="N24" i="6"/>
  <c r="O24" i="6"/>
  <c r="N43" i="6"/>
  <c r="O43" i="6"/>
  <c r="N49" i="6"/>
  <c r="O49" i="6"/>
  <c r="N50" i="6"/>
  <c r="O50" i="6"/>
  <c r="M43" i="6"/>
  <c r="P52" i="6"/>
  <c r="P51" i="6"/>
  <c r="P48" i="6"/>
  <c r="P45" i="6"/>
  <c r="P44" i="6"/>
  <c r="P41" i="6"/>
  <c r="P38" i="6"/>
  <c r="P37" i="6"/>
  <c r="P35" i="6"/>
  <c r="P34" i="6"/>
  <c r="P31" i="6"/>
  <c r="P30" i="6"/>
  <c r="P27" i="6"/>
  <c r="H18" i="7"/>
  <c r="R50" i="6" l="1"/>
  <c r="R49" i="6"/>
  <c r="R43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P50" i="6"/>
  <c r="N46" i="6"/>
  <c r="O46" i="6"/>
  <c r="O21" i="6"/>
  <c r="P42" i="6"/>
  <c r="P43" i="6"/>
  <c r="N21" i="6"/>
  <c r="O39" i="6"/>
  <c r="N39" i="6"/>
  <c r="P49" i="6"/>
  <c r="F15" i="21" l="1"/>
  <c r="G15" i="21"/>
  <c r="E15" i="21"/>
  <c r="B15" i="21"/>
  <c r="J30" i="5" l="1"/>
  <c r="K30" i="5"/>
  <c r="I30" i="5"/>
  <c r="J25" i="15"/>
  <c r="I25" i="15"/>
  <c r="H25" i="15"/>
  <c r="K24" i="15"/>
  <c r="H15" i="21" s="1"/>
  <c r="K25" i="15" l="1"/>
  <c r="L30" i="5"/>
  <c r="F6" i="25" l="1"/>
  <c r="G6" i="25"/>
  <c r="K19" i="2" l="1"/>
  <c r="K18" i="2"/>
  <c r="G21" i="2" l="1"/>
  <c r="J21" i="16" l="1"/>
  <c r="I21" i="16"/>
  <c r="H21" i="16"/>
  <c r="K20" i="16"/>
  <c r="K21" i="16" l="1"/>
  <c r="E8" i="25"/>
  <c r="E7" i="25"/>
  <c r="E6" i="25" l="1"/>
  <c r="E7" i="21"/>
  <c r="H7" i="21" s="1"/>
  <c r="K18" i="17" l="1"/>
  <c r="H8" i="25" s="1"/>
  <c r="H19" i="17"/>
  <c r="I38" i="5" s="1"/>
  <c r="K24" i="8"/>
  <c r="I23" i="22" l="1"/>
  <c r="K28" i="8"/>
  <c r="K17" i="17"/>
  <c r="H7" i="25" s="1"/>
  <c r="H6" i="25" s="1"/>
  <c r="J19" i="17"/>
  <c r="K38" i="5" s="1"/>
  <c r="K35" i="5" s="1"/>
  <c r="I19" i="17"/>
  <c r="J38" i="5" s="1"/>
  <c r="J35" i="5" s="1"/>
  <c r="L38" i="5" l="1"/>
  <c r="K19" i="17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K33" i="5" l="1"/>
  <c r="K20" i="5" s="1"/>
  <c r="J24" i="16"/>
  <c r="K31" i="5" s="1"/>
  <c r="J33" i="5"/>
  <c r="J20" i="5" s="1"/>
  <c r="I24" i="16"/>
  <c r="J31" i="5" s="1"/>
  <c r="H24" i="16"/>
  <c r="I33" i="5"/>
  <c r="I20" i="5" s="1"/>
  <c r="K17" i="16"/>
  <c r="K19" i="16"/>
  <c r="L20" i="5" l="1"/>
  <c r="L33" i="5"/>
  <c r="K24" i="16"/>
  <c r="L31" i="5" s="1"/>
  <c r="E14" i="24"/>
  <c r="E15" i="24" s="1"/>
  <c r="I31" i="5"/>
  <c r="F14" i="24"/>
  <c r="F15" i="24" s="1"/>
  <c r="N63" i="6"/>
  <c r="N69" i="6"/>
  <c r="O63" i="6"/>
  <c r="O69" i="6"/>
  <c r="G14" i="24"/>
  <c r="G15" i="24" s="1"/>
  <c r="H20" i="6"/>
  <c r="H21" i="6"/>
  <c r="H22" i="6"/>
  <c r="H23" i="6"/>
  <c r="H24" i="6"/>
  <c r="H39" i="6"/>
  <c r="H32" i="6"/>
  <c r="H25" i="6"/>
  <c r="H14" i="24" l="1"/>
  <c r="H15" i="24" s="1"/>
  <c r="H18" i="6"/>
  <c r="G18" i="19" l="1"/>
  <c r="G19" i="19" s="1"/>
  <c r="H16" i="17"/>
  <c r="H20" i="17" s="1"/>
  <c r="H18" i="15"/>
  <c r="I16" i="15"/>
  <c r="I16" i="8"/>
  <c r="J16" i="8"/>
  <c r="I18" i="8"/>
  <c r="J18" i="8"/>
  <c r="I23" i="8"/>
  <c r="J23" i="8"/>
  <c r="H23" i="8"/>
  <c r="H18" i="8"/>
  <c r="H16" i="8"/>
  <c r="H35" i="8" l="1"/>
  <c r="H37" i="8"/>
  <c r="I21" i="8"/>
  <c r="I35" i="8" s="1"/>
  <c r="N29" i="6" s="1"/>
  <c r="N25" i="6" s="1"/>
  <c r="K22" i="15"/>
  <c r="J23" i="15"/>
  <c r="I23" i="15"/>
  <c r="H23" i="15"/>
  <c r="H44" i="15" s="1"/>
  <c r="J16" i="15"/>
  <c r="M32" i="6" l="1"/>
  <c r="H38" i="8"/>
  <c r="M29" i="6"/>
  <c r="K16" i="15"/>
  <c r="N61" i="6"/>
  <c r="N67" i="6"/>
  <c r="K23" i="15"/>
  <c r="I18" i="15"/>
  <c r="I44" i="15" s="1"/>
  <c r="J21" i="8"/>
  <c r="J35" i="8" s="1"/>
  <c r="O29" i="6" s="1"/>
  <c r="O25" i="6" s="1"/>
  <c r="E5" i="25"/>
  <c r="E9" i="25" s="1"/>
  <c r="M25" i="6" l="1"/>
  <c r="P25" i="6" s="1"/>
  <c r="P29" i="6"/>
  <c r="P22" i="6" s="1"/>
  <c r="R29" i="6"/>
  <c r="M22" i="6"/>
  <c r="O67" i="6"/>
  <c r="O61" i="6"/>
  <c r="Q69" i="6"/>
  <c r="Q68" i="6"/>
  <c r="Q63" i="6"/>
  <c r="Q62" i="6"/>
  <c r="K23" i="8"/>
  <c r="K22" i="8"/>
  <c r="I37" i="5"/>
  <c r="L37" i="5" l="1"/>
  <c r="L35" i="5" s="1"/>
  <c r="I18" i="5"/>
  <c r="N32" i="6"/>
  <c r="N68" i="6" s="1"/>
  <c r="N22" i="6"/>
  <c r="N18" i="6" s="1"/>
  <c r="I35" i="5"/>
  <c r="I50" i="5" l="1"/>
  <c r="N35" i="5"/>
  <c r="N62" i="6"/>
  <c r="I56" i="5"/>
  <c r="F5" i="25"/>
  <c r="F9" i="25" s="1"/>
  <c r="I16" i="17"/>
  <c r="I20" i="17" s="1"/>
  <c r="N64" i="6" l="1"/>
  <c r="N70" i="6"/>
  <c r="J56" i="5"/>
  <c r="J18" i="5"/>
  <c r="G5" i="25"/>
  <c r="G9" i="25" s="1"/>
  <c r="J16" i="17"/>
  <c r="J20" i="17" s="1"/>
  <c r="K15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O70" i="6" l="1"/>
  <c r="O64" i="6"/>
  <c r="K56" i="5"/>
  <c r="I7" i="22"/>
  <c r="I11" i="22"/>
  <c r="I6" i="22"/>
  <c r="K16" i="17"/>
  <c r="J50" i="5"/>
  <c r="H5" i="25"/>
  <c r="H9" i="25" s="1"/>
  <c r="P5" i="22"/>
  <c r="P13" i="22"/>
  <c r="E21" i="6"/>
  <c r="G28" i="22" l="1"/>
  <c r="I10" i="22"/>
  <c r="K50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M39" i="6"/>
  <c r="H5" i="24"/>
  <c r="H12" i="24" s="1"/>
  <c r="I39" i="6"/>
  <c r="H14" i="21"/>
  <c r="H13" i="21"/>
  <c r="E29" i="5"/>
  <c r="E38" i="5" s="1"/>
  <c r="E34" i="5"/>
  <c r="J34" i="5"/>
  <c r="J21" i="5" s="1"/>
  <c r="K34" i="5"/>
  <c r="K21" i="5" s="1"/>
  <c r="I34" i="5"/>
  <c r="I21" i="5" s="1"/>
  <c r="J29" i="5"/>
  <c r="J26" i="5" s="1"/>
  <c r="K29" i="5"/>
  <c r="I29" i="5"/>
  <c r="I26" i="5" s="1"/>
  <c r="K18" i="16"/>
  <c r="K16" i="16"/>
  <c r="K15" i="16"/>
  <c r="M69" i="6" l="1"/>
  <c r="M63" i="6"/>
  <c r="P39" i="6"/>
  <c r="I54" i="5"/>
  <c r="I69" i="6"/>
  <c r="L21" i="5"/>
  <c r="L34" i="5"/>
  <c r="L29" i="5"/>
  <c r="P63" i="6" l="1"/>
  <c r="P69" i="6"/>
  <c r="I48" i="5"/>
  <c r="J55" i="5"/>
  <c r="J49" i="5"/>
  <c r="K55" i="5"/>
  <c r="K49" i="5"/>
  <c r="X22" i="2" l="1"/>
  <c r="V22" i="2"/>
  <c r="P21" i="6" l="1"/>
  <c r="I22" i="6" l="1"/>
  <c r="I20" i="6"/>
  <c r="G21" i="6" l="1"/>
  <c r="G22" i="6"/>
  <c r="F21" i="6" l="1"/>
  <c r="F22" i="6"/>
  <c r="E22" i="6" l="1"/>
  <c r="E25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K15" i="8"/>
  <c r="K17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K21" i="8"/>
  <c r="K19" i="8"/>
  <c r="K18" i="8"/>
  <c r="K16" i="8"/>
  <c r="I21" i="6"/>
  <c r="R21" i="6" s="1"/>
  <c r="I25" i="6"/>
  <c r="H21" i="22"/>
  <c r="V24" i="2"/>
  <c r="V23" i="2"/>
  <c r="F22" i="2"/>
  <c r="U24" i="2"/>
  <c r="E22" i="2"/>
  <c r="U23" i="2"/>
  <c r="K35" i="8" l="1"/>
  <c r="L47" i="5" s="1"/>
  <c r="Q25" i="6"/>
  <c r="W24" i="2"/>
  <c r="H26" i="22"/>
  <c r="I13" i="22"/>
  <c r="H10" i="21"/>
  <c r="H8" i="21"/>
  <c r="H16" i="21" s="1"/>
  <c r="F16" i="21"/>
  <c r="F19" i="21" s="1"/>
  <c r="I15" i="19"/>
  <c r="H21" i="2"/>
  <c r="W23" i="2"/>
  <c r="W22" i="2" s="1"/>
  <c r="U22" i="2" s="1"/>
  <c r="I67" i="6"/>
  <c r="I21" i="22"/>
  <c r="H15" i="19" l="1"/>
  <c r="H18" i="19"/>
  <c r="H19" i="19" s="1"/>
  <c r="E19" i="2"/>
  <c r="D19" i="2" s="1"/>
  <c r="E18" i="2"/>
  <c r="D18" i="2" s="1"/>
  <c r="B26" i="3"/>
  <c r="I18" i="19" l="1"/>
  <c r="I19" i="19" s="1"/>
  <c r="B27" i="2"/>
  <c r="B25" i="2"/>
  <c r="J21" i="2" l="1"/>
  <c r="I27" i="16"/>
  <c r="J27" i="16"/>
  <c r="H27" i="16"/>
  <c r="K21" i="2" l="1"/>
  <c r="H46" i="15"/>
  <c r="L21" i="2" l="1"/>
  <c r="M21" i="2" s="1"/>
  <c r="O21" i="2" s="1"/>
  <c r="K26" i="7"/>
  <c r="Q21" i="2" l="1"/>
  <c r="P21" i="2"/>
  <c r="G46" i="6"/>
  <c r="F46" i="6"/>
  <c r="E46" i="6"/>
  <c r="G39" i="6"/>
  <c r="F39" i="6"/>
  <c r="E39" i="6"/>
  <c r="R39" i="6" s="1"/>
  <c r="G32" i="6"/>
  <c r="F32" i="6"/>
  <c r="E32" i="6"/>
  <c r="G25" i="6"/>
  <c r="F25" i="6"/>
  <c r="E20" i="6"/>
  <c r="F20" i="6"/>
  <c r="G20" i="6"/>
  <c r="E23" i="6"/>
  <c r="F23" i="6"/>
  <c r="G23" i="6"/>
  <c r="E24" i="6"/>
  <c r="F24" i="6"/>
  <c r="G24" i="6"/>
  <c r="R25" i="6" l="1"/>
  <c r="E18" i="6"/>
  <c r="G18" i="6"/>
  <c r="F18" i="6"/>
  <c r="E33" i="5" l="1"/>
  <c r="B17" i="2"/>
  <c r="B20" i="2"/>
  <c r="E21" i="2"/>
  <c r="F21" i="2"/>
  <c r="I21" i="2"/>
  <c r="D21" i="2"/>
  <c r="A14" i="19"/>
  <c r="A13" i="19"/>
  <c r="A14" i="18"/>
  <c r="A13" i="18"/>
  <c r="M4" i="6"/>
  <c r="J4" i="5"/>
  <c r="I28" i="16"/>
  <c r="J28" i="16"/>
  <c r="H28" i="16"/>
  <c r="B21" i="3"/>
  <c r="D2" i="3"/>
  <c r="A9" i="3"/>
  <c r="B15" i="3"/>
  <c r="K28" i="16" l="1"/>
  <c r="I46" i="6" l="1"/>
  <c r="M24" i="6"/>
  <c r="P24" i="6" s="1"/>
  <c r="I24" i="6"/>
  <c r="R24" i="6" s="1"/>
  <c r="M23" i="6"/>
  <c r="P23" i="6" s="1"/>
  <c r="I23" i="6"/>
  <c r="M20" i="6"/>
  <c r="P20" i="6" s="1"/>
  <c r="C46" i="6"/>
  <c r="C39" i="6"/>
  <c r="C32" i="6"/>
  <c r="C25" i="6"/>
  <c r="E28" i="5"/>
  <c r="E37" i="5" s="1"/>
  <c r="E25" i="5"/>
  <c r="E30" i="5" s="1"/>
  <c r="E24" i="5"/>
  <c r="J19" i="5"/>
  <c r="J16" i="5" s="1"/>
  <c r="K19" i="5"/>
  <c r="L17" i="5"/>
  <c r="L23" i="5"/>
  <c r="L27" i="5"/>
  <c r="L32" i="5"/>
  <c r="L36" i="5"/>
  <c r="P18" i="6" l="1"/>
  <c r="R23" i="6"/>
  <c r="R20" i="6"/>
  <c r="I19" i="5"/>
  <c r="I16" i="5" s="1"/>
  <c r="I47" i="5"/>
  <c r="M18" i="6"/>
  <c r="T20" i="6"/>
  <c r="S25" i="6"/>
  <c r="M61" i="6"/>
  <c r="M67" i="6"/>
  <c r="I70" i="6"/>
  <c r="S39" i="6"/>
  <c r="A11" i="20"/>
  <c r="A10" i="20"/>
  <c r="K27" i="16"/>
  <c r="H47" i="15"/>
  <c r="I29" i="22"/>
  <c r="L19" i="5" l="1"/>
  <c r="P67" i="6"/>
  <c r="P61" i="6"/>
  <c r="I49" i="5"/>
  <c r="I55" i="5"/>
  <c r="K53" i="5"/>
  <c r="K47" i="5"/>
  <c r="J53" i="5"/>
  <c r="J47" i="5"/>
  <c r="I53" i="5"/>
  <c r="I46" i="15"/>
  <c r="I22" i="22"/>
  <c r="I26" i="22" s="1"/>
  <c r="I30" i="22"/>
  <c r="H48" i="15"/>
  <c r="J54" i="5" l="1"/>
  <c r="J48" i="5"/>
  <c r="Q61" i="6"/>
  <c r="Q67" i="6"/>
  <c r="Q39" i="6"/>
  <c r="L55" i="5"/>
  <c r="L49" i="5"/>
  <c r="L53" i="5"/>
  <c r="I47" i="15"/>
  <c r="K20" i="17"/>
  <c r="J46" i="15"/>
  <c r="M46" i="6"/>
  <c r="R46" i="6" s="1"/>
  <c r="I32" i="6"/>
  <c r="I48" i="15"/>
  <c r="K15" i="15"/>
  <c r="K54" i="15" l="1"/>
  <c r="L28" i="5"/>
  <c r="L26" i="5" s="1"/>
  <c r="M70" i="6"/>
  <c r="M64" i="6"/>
  <c r="P46" i="6"/>
  <c r="Q46" i="6" s="1"/>
  <c r="Q64" i="6" s="1"/>
  <c r="L50" i="5"/>
  <c r="J47" i="15"/>
  <c r="J18" i="15"/>
  <c r="J44" i="15" s="1"/>
  <c r="K47" i="15"/>
  <c r="I18" i="6"/>
  <c r="I68" i="6"/>
  <c r="L56" i="5"/>
  <c r="K46" i="15"/>
  <c r="S46" i="6"/>
  <c r="K26" i="5" l="1"/>
  <c r="K18" i="15"/>
  <c r="G19" i="21"/>
  <c r="P70" i="6"/>
  <c r="P64" i="6"/>
  <c r="M68" i="6"/>
  <c r="M62" i="6"/>
  <c r="J48" i="15"/>
  <c r="K44" i="15" l="1"/>
  <c r="P32" i="6"/>
  <c r="Q32" i="6" s="1"/>
  <c r="L48" i="5"/>
  <c r="O32" i="6"/>
  <c r="R32" i="6" s="1"/>
  <c r="R36" i="6"/>
  <c r="K18" i="5"/>
  <c r="K16" i="5" s="1"/>
  <c r="L16" i="5" s="1"/>
  <c r="O22" i="6"/>
  <c r="R22" i="6" s="1"/>
  <c r="K54" i="5"/>
  <c r="K48" i="5"/>
  <c r="Q70" i="6"/>
  <c r="L18" i="5" l="1"/>
  <c r="Q18" i="6"/>
  <c r="K48" i="15"/>
  <c r="H19" i="21"/>
  <c r="L54" i="5"/>
  <c r="O18" i="6"/>
  <c r="R18" i="6" s="1"/>
  <c r="O62" i="6"/>
  <c r="O68" i="6"/>
  <c r="S32" i="6"/>
  <c r="S18" i="6" l="1"/>
  <c r="P62" i="6"/>
  <c r="P68" i="6"/>
</calcChain>
</file>

<file path=xl/sharedStrings.xml><?xml version="1.0" encoding="utf-8"?>
<sst xmlns="http://schemas.openxmlformats.org/spreadsheetml/2006/main" count="1004" uniqueCount="366">
  <si>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</si>
  <si>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</si>
  <si>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</si>
  <si>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</si>
  <si>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</si>
  <si>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</si>
  <si>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</si>
  <si>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</si>
  <si>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</si>
  <si>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</si>
  <si>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</si>
  <si>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</si>
  <si>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</si>
  <si>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</si>
  <si>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</si>
  <si>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</si>
  <si>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</si>
  <si>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</si>
  <si>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</si>
  <si>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</si>
  <si>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</si>
  <si>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</si>
  <si>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</si>
  <si>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</si>
  <si>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</si>
  <si>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</si>
  <si>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</si>
  <si>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</si>
  <si>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</si>
  <si>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</si>
  <si>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</si>
  <si>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</si>
  <si>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</si>
  <si>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</si>
  <si>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</si>
  <si>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</si>
  <si>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</si>
  <si>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</si>
  <si>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</si>
  <si>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</si>
  <si>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</si>
  <si>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</si>
  <si>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</si>
  <si>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</si>
  <si>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</si>
  <si>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</si>
  <si>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</si>
  <si>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</si>
  <si>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</si>
  <si>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</si>
  <si>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</si>
  <si>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</si>
  <si>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</si>
  <si>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</si>
  <si>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</si>
  <si>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</si>
  <si>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</si>
  <si>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</si>
  <si>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</si>
  <si>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</si>
  <si>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</si>
  <si>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</si>
  <si>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</si>
  <si>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</si>
  <si>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</si>
  <si>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</si>
  <si>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</si>
  <si>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</si>
  <si>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</si>
  <si>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</si>
  <si>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</si>
  <si>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</si>
  <si>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</si>
  <si>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</si>
  <si>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</si>
  <si>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</si>
  <si>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</si>
  <si>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</si>
  <si>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</si>
  <si>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</si>
  <si>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</si>
  <si>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</si>
  <si>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</si>
  <si>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</si>
  <si>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</si>
  <si>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</si>
  <si>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</si>
  <si>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</si>
  <si>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</si>
  <si>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</si>
  <si>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</si>
  <si>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</si>
  <si>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</si>
  <si>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</si>
  <si>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</si>
  <si>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</si>
  <si>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</si>
  <si>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</si>
  <si>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</si>
  <si>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</si>
  <si>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</si>
  <si>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</si>
  <si>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</si>
  <si>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</si>
  <si>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</si>
  <si>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</si>
  <si>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</si>
  <si>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</si>
  <si>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постановление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</si>
  <si>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</si>
  <si>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</si>
  <si>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</si>
  <si>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</si>
  <si>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</si>
  <si>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</si>
  <si>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</si>
  <si>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</si>
  <si>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</si>
  <si>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</si>
  <si>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</si>
  <si>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</si>
  <si>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</si>
  <si>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</si>
  <si>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</si>
  <si>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</si>
  <si>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</si>
  <si>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</si>
  <si>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</si>
  <si>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</si>
  <si>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</si>
  <si>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</si>
  <si>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</si>
  <si>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</si>
  <si>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</si>
  <si>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</si>
  <si>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</si>
  <si>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</si>
  <si>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</si>
  <si>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</si>
  <si>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</si>
  <si>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</si>
  <si>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</si>
  <si>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</si>
  <si>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</si>
  <si>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</si>
  <si>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</si>
  <si>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</si>
  <si>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</si>
  <si>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</si>
  <si>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</si>
  <si>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</si>
  <si>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</si>
  <si>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</si>
  <si>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</si>
  <si>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</si>
  <si>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</si>
  <si>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</si>
  <si>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</si>
  <si>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</si>
  <si>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</si>
  <si>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</si>
  <si>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</si>
  <si>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</si>
  <si>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</si>
  <si>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</si>
  <si>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</si>
  <si>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</si>
  <si>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</si>
  <si>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</si>
  <si>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</si>
  <si>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</si>
  <si>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</si>
  <si>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</si>
  <si>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</si>
  <si>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</si>
  <si>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</si>
  <si>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</si>
  <si>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</si>
  <si>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</si>
  <si>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</si>
  <si>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</si>
  <si>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</si>
  <si>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</si>
  <si>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</si>
  <si>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</si>
  <si>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</si>
  <si>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</si>
  <si>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</si>
  <si>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</si>
  <si>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</si>
  <si>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</si>
  <si>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</si>
  <si>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</si>
  <si>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</si>
  <si>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</si>
  <si>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</si>
  <si>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</si>
  <si>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</si>
  <si>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</si>
  <si>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</si>
  <si>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</si>
  <si>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</si>
  <si>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</si>
  <si>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</si>
  <si>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</si>
  <si>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</si>
  <si>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</si>
  <si>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</si>
  <si>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</si>
  <si>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</si>
  <si>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</si>
  <si>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</si>
  <si>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</si>
  <si>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</si>
  <si>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</si>
  <si>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</si>
  <si>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</si>
  <si>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</si>
  <si>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</si>
  <si>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</si>
  <si>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</si>
  <si>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</si>
  <si>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</si>
  <si>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</si>
  <si>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</si>
  <si>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</si>
  <si>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</si>
  <si>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</si>
  <si>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</si>
  <si>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</si>
  <si>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</si>
  <si>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</si>
  <si>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</si>
  <si>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</si>
  <si>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</si>
  <si>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</si>
  <si>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</si>
  <si>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</si>
  <si>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</si>
  <si>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</si>
  <si>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</si>
  <si>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</si>
  <si>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</si>
  <si>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</si>
  <si>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</si>
  <si>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</si>
  <si>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</si>
  <si>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</si>
  <si>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</si>
  <si>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</si>
  <si>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</si>
  <si>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</si>
  <si>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</si>
  <si>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</si>
  <si>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</si>
  <si>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</si>
  <si>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</si>
  <si>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</si>
  <si>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</si>
  <si>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</si>
  <si>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</si>
  <si>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</si>
  <si>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</si>
  <si>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</si>
  <si>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</si>
  <si>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</si>
  <si>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</si>
  <si>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</si>
  <si>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</si>
  <si>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</si>
  <si>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</si>
  <si>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</si>
  <si>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</si>
  <si>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</si>
  <si>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</si>
  <si>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</si>
  <si>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</si>
  <si>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</si>
  <si>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</si>
  <si>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</si>
  <si>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</si>
  <si>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</si>
  <si>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</si>
  <si>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</si>
  <si>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</si>
  <si>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</si>
  <si>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</si>
  <si>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</si>
  <si>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</si>
  <si>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</si>
  <si>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Отдельное мероприятие: Предоставление субсидии на организацию технического осмотра автомобильного транспорта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</si>
  <si>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</si>
  <si>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</si>
  <si>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</si>
  <si>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</si>
  <si>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 xml:space="preserve">Отдельное мероприятие: Предоставление субсидии на обеспечение пассажирских перевозок автомобильным транспортом на территории МО Туруханский район 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</si>
  <si>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</si>
  <si>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</si>
  <si>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</si>
  <si>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</si>
  <si>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 xml:space="preserve">утверждение Порядка предоставления грантов в форме субсидий на организацию технического осмотра автомобильного транспорта  </t>
  </si>
  <si>
    <t>094D276450</t>
  </si>
  <si>
    <t>813</t>
  </si>
  <si>
    <t>плпн 2020</t>
  </si>
  <si>
    <t>турух</t>
  </si>
  <si>
    <t>светлог</t>
  </si>
  <si>
    <t>бор</t>
  </si>
  <si>
    <t>Ворогово</t>
  </si>
  <si>
    <t>игарка</t>
  </si>
  <si>
    <t>+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</si>
  <si>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</si>
  <si>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</si>
  <si>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</si>
  <si>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</si>
  <si>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</si>
  <si>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</si>
  <si>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</si>
  <si>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территориалка</t>
  </si>
  <si>
    <t>мероприятий подпрограммы 3 "Безопасность дорожного движения в Туруханском районе"</t>
  </si>
  <si>
    <t>Приложение № 6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</si>
  <si>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</si>
  <si>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</si>
  <si>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</si>
  <si>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</si>
  <si>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</si>
  <si>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</si>
  <si>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</si>
  <si>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</si>
  <si>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Отдельное мероприятие. Задача 5. Улучшение качества оказания услуг по перевозке пасажиров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</si>
  <si>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</si>
  <si>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</si>
  <si>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</si>
  <si>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</si>
  <si>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</si>
  <si>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t>Приобретение и доставка специальной техники для содержания улично-дорожной сети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</si>
  <si>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</si>
  <si>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</si>
  <si>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Субсидия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</si>
  <si>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</si>
  <si>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</si>
  <si>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Субсидия на приобретение и доставку автобуса с. Ворогово</t>
  </si>
  <si>
    <t>Отдельное мероприятие. Задача 4. Содержание улично-дорожной сети</t>
  </si>
  <si>
    <t>бульдозер, поливалка, спец техника игарка петраков</t>
  </si>
  <si>
    <t>мпец техника в/ имбатск,бор</t>
  </si>
  <si>
    <t>бор, оборудование техосмотр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</si>
  <si>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</si>
  <si>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</si>
  <si>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Проведение паталоготомических процедур в трудодоступных населенных пунктах Турухансокго района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</si>
  <si>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</si>
  <si>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</si>
  <si>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</si>
  <si>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</si>
  <si>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</si>
  <si>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0920084240</t>
  </si>
  <si>
    <t>Иные межбюджетные трансферты на организацию технического осмотра автомобильного транспорта</t>
  </si>
  <si>
    <t>8.1.</t>
  </si>
  <si>
    <t>Топливо</t>
  </si>
  <si>
    <t>0920084800</t>
  </si>
  <si>
    <t>811</t>
  </si>
  <si>
    <t xml:space="preserve">Субсидии на приобретение и доставку топлива для нужд Туруханского района </t>
  </si>
  <si>
    <t>Отдельное мероприятие. Задача 8. Создание резервного запаса топлива для нужд Туруханского района</t>
  </si>
  <si>
    <t>Создание резервного запаса топлива для нужд Туруханского района</t>
  </si>
  <si>
    <t>Приложение 3
к постановлению администрации  Туруханского района 
от                            №             -п</t>
  </si>
  <si>
    <t>Приложение 4
к постановлению администрации  Туруханского района 
от                              №                       -п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</si>
  <si>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                                       №            - п</t>
  </si>
  <si>
    <t>Приложение 6
к постановлению                                                                                                     администрации Туруханского района                                                         от _________________ № ______________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</si>
</sst>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0.0"/>
    <numFmt numFmtId="171" formatCode="_-* #,##0.000_р_._-;\-* #,##0.000_р_._-;_-* &quot;-&quot;???_р_._-;_-@_-"/>
    <numFmt numFmtId="172" formatCode="0.000"/>
    <numFmt numFmtId="173" formatCode="_-* #,##0.0_р_._-;\-* #,##0.0_р_._-;_-* &quot;-&quot;??_р_._-;_-@_-"/>
    <numFmt numFmtId="174" formatCode="0.0000"/>
    <numFmt numFmtId="175" formatCode="[$-419]mmmm\ yyyy;@"/>
    <numFmt numFmtId="176" formatCode="_-* #,##0.0_р_._-;\-* #,##0.0_р_._-;_-* &quot;-&quot;?_р_._-;_-@_-"/>
    <numFmt numFmtId="177" formatCode="_-* #,##0.000\ _₽_-;\-* #,##0.000\ _₽_-;_-* &quot;-&quot;???\ _₽_-;_-@_-"/>
    <numFmt numFmtId="178" formatCode="#,##0.00\ _₽"/>
  </numFmts>
  <fonts count="3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2"/>
      <color theme="4" tint="-0.249977111117893"/>
      <name val="Times New Roman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4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71" fontId="3" fillId="0" borderId="0" xfId="0" applyNumberFormat="1" applyFont="1" applyFill="1" applyAlignment="1">
      <alignment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2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3" fontId="8" fillId="0" borderId="1" xfId="2" applyNumberFormat="1" applyFont="1" applyBorder="1" applyAlignment="1">
      <alignment vertical="center" wrapText="1"/>
    </xf>
    <xf numFmtId="173" fontId="8" fillId="0" borderId="1" xfId="2" applyNumberFormat="1" applyFont="1" applyBorder="1" applyAlignment="1">
      <alignment vertical="center"/>
    </xf>
    <xf numFmtId="173" fontId="9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2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4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3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1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20" fillId="0" borderId="1" xfId="3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horizontal="left" vertical="center" wrapText="1"/>
    </xf>
    <xf numFmtId="165" fontId="21" fillId="3" borderId="1" xfId="2" applyNumberFormat="1" applyFont="1" applyFill="1" applyBorder="1" applyAlignment="1">
      <alignment horizontal="center" vertical="center" wrapText="1"/>
    </xf>
    <xf numFmtId="165" fontId="21" fillId="3" borderId="1" xfId="2" applyNumberFormat="1" applyFont="1" applyFill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0" fontId="16" fillId="4" borderId="1" xfId="0" applyFont="1" applyFill="1" applyBorder="1" applyAlignment="1">
      <alignment vertical="center" wrapText="1"/>
    </xf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171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177" fontId="18" fillId="0" borderId="0" xfId="0" applyNumberFormat="1" applyFont="1" applyFill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165" fontId="19" fillId="3" borderId="1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vertical="center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164" fontId="18" fillId="0" borderId="0" xfId="2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175" fontId="16" fillId="0" borderId="0" xfId="0" applyNumberFormat="1" applyFont="1"/>
    <xf numFmtId="171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4" borderId="0" xfId="0" applyFont="1" applyFill="1"/>
    <xf numFmtId="168" fontId="18" fillId="0" borderId="0" xfId="2" applyNumberFormat="1" applyFont="1"/>
    <xf numFmtId="169" fontId="18" fillId="0" borderId="0" xfId="0" applyNumberFormat="1" applyFont="1"/>
    <xf numFmtId="169" fontId="18" fillId="0" borderId="0" xfId="2" applyNumberFormat="1" applyFont="1"/>
    <xf numFmtId="164" fontId="18" fillId="0" borderId="0" xfId="2" applyFont="1"/>
    <xf numFmtId="171" fontId="18" fillId="0" borderId="0" xfId="0" applyNumberFormat="1" applyFont="1"/>
    <xf numFmtId="169" fontId="18" fillId="0" borderId="12" xfId="0" applyNumberFormat="1" applyFont="1" applyBorder="1"/>
    <xf numFmtId="169" fontId="18" fillId="0" borderId="12" xfId="2" applyNumberFormat="1" applyFont="1" applyBorder="1"/>
    <xf numFmtId="0" fontId="18" fillId="0" borderId="12" xfId="0" applyFont="1" applyBorder="1"/>
    <xf numFmtId="169" fontId="18" fillId="0" borderId="0" xfId="2" applyNumberFormat="1" applyFont="1" applyBorder="1"/>
    <xf numFmtId="0" fontId="18" fillId="0" borderId="0" xfId="0" applyFont="1" applyBorder="1"/>
    <xf numFmtId="169" fontId="18" fillId="0" borderId="11" xfId="0" applyNumberFormat="1" applyFont="1" applyBorder="1"/>
    <xf numFmtId="169" fontId="18" fillId="0" borderId="11" xfId="2" applyNumberFormat="1" applyFont="1" applyBorder="1"/>
    <xf numFmtId="0" fontId="18" fillId="0" borderId="11" xfId="0" applyFont="1" applyBorder="1"/>
    <xf numFmtId="169" fontId="22" fillId="0" borderId="12" xfId="0" applyNumberFormat="1" applyFont="1" applyBorder="1"/>
    <xf numFmtId="0" fontId="6" fillId="0" borderId="1" xfId="0" applyFont="1" applyBorder="1" applyAlignment="1">
      <alignment vertical="center" wrapText="1"/>
    </xf>
    <xf numFmtId="169" fontId="6" fillId="4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177" fontId="12" fillId="0" borderId="0" xfId="0" applyNumberFormat="1" applyFont="1" applyFill="1" applyAlignment="1">
      <alignment vertical="center"/>
    </xf>
    <xf numFmtId="165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5" fontId="2" fillId="0" borderId="0" xfId="0" applyNumberFormat="1" applyFont="1"/>
    <xf numFmtId="17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5" fontId="2" fillId="2" borderId="1" xfId="0" applyNumberFormat="1" applyFont="1" applyFill="1" applyBorder="1" applyAlignment="1">
      <alignment vertical="center" wrapText="1"/>
    </xf>
    <xf numFmtId="175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/>
    <xf numFmtId="0" fontId="6" fillId="0" borderId="1" xfId="0" applyFont="1" applyBorder="1"/>
    <xf numFmtId="175" fontId="6" fillId="0" borderId="1" xfId="0" applyNumberFormat="1" applyFont="1" applyBorder="1"/>
    <xf numFmtId="0" fontId="2" fillId="0" borderId="1" xfId="0" applyFont="1" applyBorder="1" applyAlignment="1">
      <alignment horizontal="justify" vertical="center"/>
    </xf>
    <xf numFmtId="0" fontId="2" fillId="7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177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69" fontId="2" fillId="7" borderId="1" xfId="2" applyNumberFormat="1" applyFont="1" applyFill="1" applyBorder="1" applyAlignment="1">
      <alignment vertical="center" wrapText="1"/>
    </xf>
    <xf numFmtId="171" fontId="2" fillId="0" borderId="0" xfId="0" applyNumberFormat="1" applyFont="1"/>
    <xf numFmtId="173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7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164" fontId="2" fillId="0" borderId="1" xfId="2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 wrapText="1"/>
    </xf>
    <xf numFmtId="165" fontId="28" fillId="5" borderId="1" xfId="2" applyNumberFormat="1" applyFont="1" applyFill="1" applyBorder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horizontal="right" vertical="center" wrapText="1"/>
    </xf>
    <xf numFmtId="164" fontId="30" fillId="0" borderId="1" xfId="2" applyNumberFormat="1" applyFont="1" applyFill="1" applyBorder="1" applyAlignment="1">
      <alignment horizontal="right" vertical="center" wrapText="1"/>
    </xf>
    <xf numFmtId="0" fontId="30" fillId="0" borderId="1" xfId="2" applyNumberFormat="1" applyFont="1" applyFill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7" borderId="0" xfId="0" applyFont="1" applyFill="1" applyAlignment="1">
      <alignment horizontal="left"/>
    </xf>
    <xf numFmtId="165" fontId="34" fillId="7" borderId="1" xfId="2" applyNumberFormat="1" applyFont="1" applyFill="1" applyBorder="1" applyAlignment="1">
      <alignment vertical="center" wrapText="1"/>
    </xf>
    <xf numFmtId="165" fontId="34" fillId="0" borderId="1" xfId="2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top" wrapText="1"/>
    </xf>
    <xf numFmtId="16" fontId="31" fillId="0" borderId="2" xfId="0" applyNumberFormat="1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1" fillId="0" borderId="2" xfId="5" applyFont="1" applyBorder="1" applyAlignment="1">
      <alignment horizontal="left" vertical="center" wrapText="1"/>
    </xf>
    <xf numFmtId="0" fontId="31" fillId="0" borderId="3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6" fontId="6" fillId="7" borderId="2" xfId="0" applyNumberFormat="1" applyFont="1" applyFill="1" applyBorder="1" applyAlignment="1">
      <alignment horizontal="left" vertical="center" wrapText="1"/>
    </xf>
    <xf numFmtId="16" fontId="6" fillId="7" borderId="3" xfId="0" applyNumberFormat="1" applyFont="1" applyFill="1" applyBorder="1" applyAlignment="1">
      <alignment horizontal="left" vertical="center" wrapText="1"/>
    </xf>
    <xf numFmtId="16" fontId="6" fillId="7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7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581025</xdr:colOff>
      <xdr:row>3</xdr:row>
      <xdr:rowOff>847725</xdr:rowOff>
    </xdr:from>
    <xdr:ext cx="184731" cy="264560"/>
    <xdr:sp macro="" textlink="">
      <xdr:nvSpPr>
        <xdr:cNvPr id="2" name="TextBox 1"/>
        <xdr:cNvSpPr txBox="1"/>
      </xdr:nvSpPr>
      <xdr:spPr>
        <a:xfrm>
          <a:off x="524827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view="pageBreakPreview" topLeftCell="A10" zoomScale="85" zoomScaleNormal="70" zoomScaleSheetLayoutView="85" workbookViewId="0">
      <selection activeCell="A4" sqref="A4:Q30"/>
    </sheetView>
  </sheetViews>
  <sheetFormatPr defaultColWidth="9" defaultRowHeight="15.75" outlineLevelRow="1" x14ac:dyDescent="0.25"/>
  <cols>
    <col min="1" max="1" width="6.375" style="142" customWidth="1"/>
    <col min="2" max="2" width="24.375" style="143" customWidth="1"/>
    <col min="3" max="3" width="11.75" style="143" customWidth="1"/>
    <col min="4" max="4" width="8.875" style="143" customWidth="1"/>
    <col min="5" max="5" width="12" style="143" customWidth="1"/>
    <col min="6" max="6" width="12.25" style="143" customWidth="1"/>
    <col min="7" max="7" width="11" style="143" customWidth="1"/>
    <col min="8" max="8" width="13.25" style="143" customWidth="1"/>
    <col min="9" max="10" width="10.25" style="143" customWidth="1"/>
    <col min="11" max="11" width="10.25" style="144" customWidth="1"/>
    <col min="12" max="14" width="10.25" style="1" customWidth="1"/>
    <col min="15" max="15" width="10.25" style="143" customWidth="1"/>
    <col min="16" max="17" width="14.875" style="143" customWidth="1"/>
    <col min="18" max="16384" width="9" style="143"/>
  </cols>
  <sheetData>
    <row r="1" spans="1:24" ht="75.75" hidden="1" customHeight="1" outlineLevel="1" x14ac:dyDescent="0.25">
      <c r="J1" s="336" t="s">
        <v>245</v>
      </c>
      <c r="K1" s="336"/>
      <c r="L1" s="336"/>
      <c r="M1" s="336"/>
      <c r="N1" s="336"/>
      <c r="O1" s="336"/>
      <c r="P1" s="336"/>
      <c r="Q1" s="336"/>
    </row>
    <row r="2" spans="1:24" hidden="1" outlineLevel="1" x14ac:dyDescent="0.25"/>
    <row r="3" spans="1:24" hidden="1" outlineLevel="1" x14ac:dyDescent="0.25"/>
    <row r="4" spans="1:24" ht="18.75" collapsed="1" x14ac:dyDescent="0.25">
      <c r="A4" s="2"/>
      <c r="B4" s="1"/>
      <c r="C4" s="1"/>
      <c r="D4" s="1"/>
      <c r="E4" s="1"/>
      <c r="F4" s="1"/>
      <c r="G4" s="1"/>
      <c r="H4" s="1"/>
      <c r="I4" s="1"/>
      <c r="J4" s="266" t="s">
        <v>10</v>
      </c>
      <c r="K4" s="267"/>
      <c r="L4" s="266"/>
      <c r="M4" s="266"/>
      <c r="N4" s="266"/>
      <c r="O4" s="266"/>
      <c r="P4" s="268"/>
      <c r="Q4" s="268"/>
    </row>
    <row r="5" spans="1:24" ht="45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337" t="s">
        <v>138</v>
      </c>
      <c r="K5" s="337"/>
      <c r="L5" s="337"/>
      <c r="M5" s="337"/>
      <c r="N5" s="337"/>
      <c r="O5" s="337"/>
      <c r="P5" s="337"/>
      <c r="Q5" s="337"/>
    </row>
    <row r="6" spans="1:24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239"/>
      <c r="O6" s="1"/>
      <c r="P6" s="1"/>
      <c r="Q6" s="1"/>
    </row>
    <row r="7" spans="1:24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239"/>
      <c r="O7" s="1"/>
      <c r="P7" s="1"/>
      <c r="Q7" s="1"/>
    </row>
    <row r="8" spans="1:24" ht="18.75" x14ac:dyDescent="0.25">
      <c r="A8" s="339" t="s">
        <v>1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</row>
    <row r="9" spans="1:24" ht="18.75" x14ac:dyDescent="0.25">
      <c r="A9" s="339" t="s">
        <v>9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</row>
    <row r="10" spans="1:24" ht="18.75" x14ac:dyDescent="0.25">
      <c r="A10" s="339" t="s">
        <v>7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4" ht="18.75" x14ac:dyDescent="0.25">
      <c r="A11" s="339" t="s">
        <v>8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4" ht="18.75" x14ac:dyDescent="0.25">
      <c r="A12" s="258"/>
      <c r="B12" s="1"/>
      <c r="C12" s="1"/>
      <c r="D12" s="1"/>
      <c r="E12" s="1"/>
      <c r="F12" s="1"/>
      <c r="G12" s="1"/>
      <c r="H12" s="1"/>
      <c r="I12" s="1"/>
      <c r="J12" s="1"/>
      <c r="K12" s="239"/>
      <c r="O12" s="1"/>
      <c r="P12" s="1"/>
      <c r="Q12" s="1"/>
    </row>
    <row r="13" spans="1:24" ht="24.75" customHeight="1" x14ac:dyDescent="0.25">
      <c r="A13" s="328" t="s">
        <v>19</v>
      </c>
      <c r="B13" s="328" t="s">
        <v>4</v>
      </c>
      <c r="C13" s="328" t="s">
        <v>2</v>
      </c>
      <c r="D13" s="328" t="s">
        <v>89</v>
      </c>
      <c r="E13" s="328" t="s">
        <v>5</v>
      </c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</row>
    <row r="14" spans="1:24" ht="72" customHeight="1" x14ac:dyDescent="0.25">
      <c r="A14" s="328"/>
      <c r="B14" s="328"/>
      <c r="C14" s="328"/>
      <c r="D14" s="328"/>
      <c r="E14" s="328" t="s">
        <v>56</v>
      </c>
      <c r="F14" s="328" t="s">
        <v>57</v>
      </c>
      <c r="G14" s="340" t="s">
        <v>61</v>
      </c>
      <c r="H14" s="328" t="s">
        <v>53</v>
      </c>
      <c r="I14" s="328" t="s">
        <v>54</v>
      </c>
      <c r="J14" s="328" t="s">
        <v>55</v>
      </c>
      <c r="K14" s="328" t="s">
        <v>58</v>
      </c>
      <c r="L14" s="328" t="s">
        <v>256</v>
      </c>
      <c r="M14" s="334" t="s">
        <v>277</v>
      </c>
      <c r="N14" s="334" t="s">
        <v>314</v>
      </c>
      <c r="O14" s="334" t="s">
        <v>324</v>
      </c>
      <c r="P14" s="333" t="s">
        <v>6</v>
      </c>
      <c r="Q14" s="333"/>
      <c r="X14" s="143">
        <v>280</v>
      </c>
    </row>
    <row r="15" spans="1:24" x14ac:dyDescent="0.25">
      <c r="A15" s="328"/>
      <c r="B15" s="328"/>
      <c r="C15" s="328"/>
      <c r="D15" s="328"/>
      <c r="E15" s="328"/>
      <c r="F15" s="328"/>
      <c r="G15" s="340"/>
      <c r="H15" s="328"/>
      <c r="I15" s="328"/>
      <c r="J15" s="328"/>
      <c r="K15" s="328"/>
      <c r="L15" s="328"/>
      <c r="M15" s="335"/>
      <c r="N15" s="335"/>
      <c r="O15" s="335"/>
      <c r="P15" s="259" t="s">
        <v>59</v>
      </c>
      <c r="Q15" s="259" t="s">
        <v>60</v>
      </c>
      <c r="X15" s="143">
        <v>117.5</v>
      </c>
    </row>
    <row r="16" spans="1:24" x14ac:dyDescent="0.25">
      <c r="A16" s="259">
        <v>1</v>
      </c>
      <c r="B16" s="259">
        <v>2</v>
      </c>
      <c r="C16" s="259">
        <v>3</v>
      </c>
      <c r="D16" s="259">
        <v>4</v>
      </c>
      <c r="E16" s="259">
        <v>5</v>
      </c>
      <c r="F16" s="259">
        <v>6</v>
      </c>
      <c r="G16" s="259">
        <v>7</v>
      </c>
      <c r="H16" s="259">
        <v>8</v>
      </c>
      <c r="I16" s="259">
        <v>9</v>
      </c>
      <c r="J16" s="259">
        <v>10</v>
      </c>
      <c r="K16" s="259">
        <v>11</v>
      </c>
      <c r="L16" s="308">
        <v>12</v>
      </c>
      <c r="M16" s="308">
        <v>13</v>
      </c>
      <c r="N16" s="308">
        <v>14</v>
      </c>
      <c r="O16" s="259">
        <v>15</v>
      </c>
      <c r="P16" s="259">
        <v>16</v>
      </c>
      <c r="Q16" s="259">
        <v>17</v>
      </c>
      <c r="X16" s="143">
        <f>X14-X15</f>
        <v>162.5</v>
      </c>
    </row>
    <row r="17" spans="1:24" s="148" customFormat="1" x14ac:dyDescent="0.25">
      <c r="A17" s="260">
        <v>1</v>
      </c>
      <c r="B17" s="332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</row>
    <row r="18" spans="1:24" s="148" customFormat="1" ht="71.25" customHeight="1" x14ac:dyDescent="0.25">
      <c r="A18" s="330" t="s">
        <v>3</v>
      </c>
      <c r="B18" s="331" t="s">
        <v>135</v>
      </c>
      <c r="C18" s="260" t="s">
        <v>69</v>
      </c>
      <c r="D18" s="269">
        <f>E18</f>
        <v>120.8</v>
      </c>
      <c r="E18" s="32">
        <f>F18</f>
        <v>120.8</v>
      </c>
      <c r="F18" s="32">
        <v>120.8</v>
      </c>
      <c r="G18" s="32">
        <v>130.023</v>
      </c>
      <c r="H18" s="264">
        <v>156.34</v>
      </c>
      <c r="I18" s="254">
        <v>157.30000000000001</v>
      </c>
      <c r="J18" s="254">
        <v>162.30000000000001</v>
      </c>
      <c r="K18" s="254">
        <f t="shared" ref="K18:K19" si="0">J18</f>
        <v>162.30000000000001</v>
      </c>
      <c r="L18" s="254">
        <v>162.5</v>
      </c>
      <c r="M18" s="254">
        <f>L18+0.15</f>
        <v>162.65</v>
      </c>
      <c r="N18" s="254">
        <f t="shared" ref="N18:Q18" si="1">M18+0.15</f>
        <v>162.80000000000001</v>
      </c>
      <c r="O18" s="254">
        <f t="shared" si="1"/>
        <v>162.95000000000002</v>
      </c>
      <c r="P18" s="254">
        <f t="shared" si="1"/>
        <v>163.10000000000002</v>
      </c>
      <c r="Q18" s="254">
        <f t="shared" si="1"/>
        <v>163.25000000000003</v>
      </c>
      <c r="U18" s="148" t="s">
        <v>315</v>
      </c>
      <c r="V18" s="148">
        <v>280.2</v>
      </c>
    </row>
    <row r="19" spans="1:24" s="148" customFormat="1" ht="71.25" customHeight="1" x14ac:dyDescent="0.25">
      <c r="A19" s="330"/>
      <c r="B19" s="331"/>
      <c r="C19" s="260" t="s">
        <v>134</v>
      </c>
      <c r="D19" s="270">
        <f>E19</f>
        <v>46.39</v>
      </c>
      <c r="E19" s="270">
        <f>F19</f>
        <v>46.39</v>
      </c>
      <c r="F19" s="270">
        <v>46.39</v>
      </c>
      <c r="G19" s="270">
        <v>47.52</v>
      </c>
      <c r="H19" s="271">
        <v>57.14</v>
      </c>
      <c r="I19" s="271">
        <v>57.49</v>
      </c>
      <c r="J19" s="254">
        <v>42.08</v>
      </c>
      <c r="K19" s="254">
        <f t="shared" si="0"/>
        <v>42.08</v>
      </c>
      <c r="L19" s="254">
        <f>L18/X14*100</f>
        <v>58.035714285714292</v>
      </c>
      <c r="M19" s="254">
        <f>M18/X14*100</f>
        <v>58.089285714285722</v>
      </c>
      <c r="N19" s="254">
        <f>N18/X14*100</f>
        <v>58.142857142857153</v>
      </c>
      <c r="O19" s="254">
        <f>O18/X14*100</f>
        <v>58.196428571428584</v>
      </c>
      <c r="P19" s="254">
        <f>P18/X14*100</f>
        <v>58.250000000000014</v>
      </c>
      <c r="Q19" s="254">
        <f>Q18/X14*100</f>
        <v>58.303571428571445</v>
      </c>
      <c r="U19" s="148" t="s">
        <v>316</v>
      </c>
      <c r="V19" s="148">
        <v>117.9</v>
      </c>
      <c r="X19" s="148">
        <f>V18-V19</f>
        <v>162.29999999999998</v>
      </c>
    </row>
    <row r="20" spans="1:24" x14ac:dyDescent="0.25">
      <c r="A20" s="259">
        <v>2</v>
      </c>
      <c r="B20" s="329" t="str">
        <f>'пр 5 к МП'!B19:E19</f>
        <v>Цель муниципальной программы Туруханского района: повышение доступности транспортных услуг</v>
      </c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V20" s="143">
        <f>V19/V18</f>
        <v>0.42077087794432549</v>
      </c>
    </row>
    <row r="21" spans="1:24" s="148" customFormat="1" ht="92.25" customHeight="1" x14ac:dyDescent="0.25">
      <c r="A21" s="272" t="s">
        <v>84</v>
      </c>
      <c r="B21" s="261" t="s">
        <v>335</v>
      </c>
      <c r="C21" s="260" t="s">
        <v>122</v>
      </c>
      <c r="D21" s="255">
        <f t="shared" ref="D21:I21" si="2">(D22+D23)*1000/D24</f>
        <v>13.264339719174577</v>
      </c>
      <c r="E21" s="255">
        <f t="shared" si="2"/>
        <v>13.638444873821653</v>
      </c>
      <c r="F21" s="255">
        <f t="shared" si="2"/>
        <v>14.499670875471246</v>
      </c>
      <c r="G21" s="255">
        <f t="shared" si="2"/>
        <v>13.02447428462952</v>
      </c>
      <c r="H21" s="255">
        <f t="shared" si="2"/>
        <v>12.647233936988339</v>
      </c>
      <c r="I21" s="255">
        <f t="shared" si="2"/>
        <v>10.762839884769079</v>
      </c>
      <c r="J21" s="255">
        <f>(J22+J23)*1000/J24</f>
        <v>29.334788189987162</v>
      </c>
      <c r="K21" s="255">
        <f>(K22+K23)*1000/K24</f>
        <v>29.626749611197511</v>
      </c>
      <c r="L21" s="255">
        <f>(L22+L23)*1000/L24</f>
        <v>14.784313725490197</v>
      </c>
      <c r="M21" s="255">
        <f>L21</f>
        <v>14.784313725490197</v>
      </c>
      <c r="N21" s="255">
        <v>29</v>
      </c>
      <c r="O21" s="255">
        <f>M21</f>
        <v>14.784313725490197</v>
      </c>
      <c r="P21" s="255">
        <f t="shared" ref="P21:Q21" si="3">(P22+P23)*1000/P24</f>
        <v>14.858860428646105</v>
      </c>
      <c r="Q21" s="255">
        <f t="shared" si="3"/>
        <v>14.877491016007843</v>
      </c>
    </row>
    <row r="22" spans="1:24" s="153" customFormat="1" ht="31.5" hidden="1" outlineLevel="1" x14ac:dyDescent="0.25">
      <c r="A22" s="149"/>
      <c r="B22" s="150" t="s">
        <v>149</v>
      </c>
      <c r="C22" s="151" t="s">
        <v>77</v>
      </c>
      <c r="D22" s="152">
        <v>9.3330000000000002</v>
      </c>
      <c r="E22" s="152">
        <f>(777+712+747+993+692+638+635+689+608+702+764+974)/1000</f>
        <v>8.9309999999999992</v>
      </c>
      <c r="F22" s="152">
        <f>(667+666+804+826+713+647+657+674+580+594+714+762)/1000</f>
        <v>8.3040000000000003</v>
      </c>
      <c r="G22" s="152">
        <v>8.2880000000000003</v>
      </c>
      <c r="H22" s="152">
        <v>7.5739999999999998</v>
      </c>
      <c r="I22" s="152">
        <v>7.8719999999999999</v>
      </c>
      <c r="J22" s="152">
        <f>7.373+1.983</f>
        <v>9.3559999999999999</v>
      </c>
      <c r="K22" s="152">
        <v>9.3699999999999992</v>
      </c>
      <c r="L22" s="313">
        <v>5.9640000000000004</v>
      </c>
      <c r="M22" s="313">
        <f>L22+0.15</f>
        <v>6.1140000000000008</v>
      </c>
      <c r="N22" s="313">
        <f t="shared" ref="N22:Q23" si="4">M22+0.15</f>
        <v>6.2640000000000011</v>
      </c>
      <c r="O22" s="152">
        <f t="shared" si="4"/>
        <v>6.4140000000000015</v>
      </c>
      <c r="P22" s="152">
        <f t="shared" si="4"/>
        <v>6.5640000000000018</v>
      </c>
      <c r="Q22" s="152">
        <f t="shared" si="4"/>
        <v>6.7140000000000022</v>
      </c>
      <c r="R22" s="148"/>
      <c r="U22" s="153">
        <f>V22/W22</f>
        <v>8750.4156067643489</v>
      </c>
      <c r="V22" s="153">
        <f>745+450+643+899+919+825+673+707</f>
        <v>5861</v>
      </c>
      <c r="W22" s="153">
        <f>AVERAGE(W23:W24)</f>
        <v>0.66979675747849754</v>
      </c>
      <c r="X22" s="153">
        <f>700*5</f>
        <v>3500</v>
      </c>
    </row>
    <row r="23" spans="1:24" s="153" customFormat="1" ht="31.5" hidden="1" outlineLevel="1" x14ac:dyDescent="0.25">
      <c r="A23" s="149"/>
      <c r="B23" s="150" t="s">
        <v>150</v>
      </c>
      <c r="C23" s="151" t="s">
        <v>77</v>
      </c>
      <c r="D23" s="152">
        <v>224</v>
      </c>
      <c r="E23" s="152">
        <v>224</v>
      </c>
      <c r="F23" s="152">
        <v>234</v>
      </c>
      <c r="G23" s="152">
        <v>205.6129411764706</v>
      </c>
      <c r="H23" s="152">
        <v>196.34999999999997</v>
      </c>
      <c r="I23" s="152">
        <v>162.44994117647065</v>
      </c>
      <c r="J23" s="152">
        <v>447.68</v>
      </c>
      <c r="K23" s="152">
        <f>J23+0.15</f>
        <v>447.83</v>
      </c>
      <c r="L23" s="313">
        <v>220.23599999999999</v>
      </c>
      <c r="M23" s="313">
        <f t="shared" ref="M23" si="5">L23+0.15</f>
        <v>220.386</v>
      </c>
      <c r="N23" s="313">
        <f t="shared" si="4"/>
        <v>220.536</v>
      </c>
      <c r="O23" s="152">
        <f t="shared" si="4"/>
        <v>220.68600000000001</v>
      </c>
      <c r="P23" s="152">
        <f t="shared" si="4"/>
        <v>220.83600000000001</v>
      </c>
      <c r="Q23" s="152">
        <f t="shared" si="4"/>
        <v>220.98600000000002</v>
      </c>
      <c r="R23" s="148"/>
      <c r="U23" s="153">
        <f>777+712+747+993+692+638+635+689+608+702+764+974</f>
        <v>8931</v>
      </c>
      <c r="V23" s="153">
        <f>777+712+747+993+692+638+635+689</f>
        <v>5883</v>
      </c>
      <c r="W23" s="153">
        <f>V23/U23</f>
        <v>0.65871682902250583</v>
      </c>
    </row>
    <row r="24" spans="1:24" s="153" customFormat="1" ht="31.5" hidden="1" outlineLevel="1" x14ac:dyDescent="0.25">
      <c r="A24" s="149"/>
      <c r="B24" s="150" t="s">
        <v>124</v>
      </c>
      <c r="C24" s="151" t="s">
        <v>82</v>
      </c>
      <c r="D24" s="154">
        <v>17591</v>
      </c>
      <c r="E24" s="154">
        <v>17079</v>
      </c>
      <c r="F24" s="154">
        <v>16711</v>
      </c>
      <c r="G24" s="154">
        <v>16423</v>
      </c>
      <c r="H24" s="154">
        <v>16124</v>
      </c>
      <c r="I24" s="154">
        <v>15825</v>
      </c>
      <c r="J24" s="154">
        <v>15580</v>
      </c>
      <c r="K24" s="155">
        <v>15432</v>
      </c>
      <c r="L24" s="314">
        <v>15300</v>
      </c>
      <c r="M24" s="315">
        <f t="shared" ref="M24" si="6">L24+1</f>
        <v>15301</v>
      </c>
      <c r="N24" s="315">
        <f t="shared" ref="N24" si="7">M24+1</f>
        <v>15302</v>
      </c>
      <c r="O24" s="155">
        <f t="shared" ref="O24" si="8">N24+1</f>
        <v>15303</v>
      </c>
      <c r="P24" s="155">
        <f t="shared" ref="P24" si="9">O24+1</f>
        <v>15304</v>
      </c>
      <c r="Q24" s="155">
        <f t="shared" ref="Q24" si="10">P24+1</f>
        <v>15305</v>
      </c>
      <c r="R24" s="148"/>
      <c r="U24" s="153">
        <f>667+666+804+826+713+647+657+674+580+594+714+762</f>
        <v>8304</v>
      </c>
      <c r="V24" s="153">
        <f>667+666+804+826+713+647+657+674</f>
        <v>5654</v>
      </c>
      <c r="W24" s="153">
        <f>V24/U24</f>
        <v>0.68087668593448936</v>
      </c>
    </row>
    <row r="25" spans="1:24" ht="15.75" customHeight="1" collapsed="1" x14ac:dyDescent="0.25">
      <c r="A25" s="259">
        <v>3</v>
      </c>
      <c r="B25" s="329" t="str">
        <f>'пр 5 к МП'!B24:E24</f>
        <v>Цель муниципальной программы Туруханского района: повышение безопасности дорожного движения</v>
      </c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148"/>
    </row>
    <row r="26" spans="1:24" ht="54" customHeight="1" x14ac:dyDescent="0.25">
      <c r="A26" s="273" t="s">
        <v>116</v>
      </c>
      <c r="B26" s="262" t="s">
        <v>81</v>
      </c>
      <c r="C26" s="259" t="s">
        <v>82</v>
      </c>
      <c r="D26" s="259">
        <v>2</v>
      </c>
      <c r="E26" s="259">
        <v>1</v>
      </c>
      <c r="F26" s="259">
        <v>2</v>
      </c>
      <c r="G26" s="259">
        <v>0</v>
      </c>
      <c r="H26" s="260">
        <v>3</v>
      </c>
      <c r="I26" s="260">
        <v>3</v>
      </c>
      <c r="J26" s="260">
        <v>1</v>
      </c>
      <c r="K26" s="260">
        <v>1</v>
      </c>
      <c r="L26" s="309">
        <v>1</v>
      </c>
      <c r="M26" s="309">
        <f>L26</f>
        <v>1</v>
      </c>
      <c r="N26" s="309">
        <v>1</v>
      </c>
      <c r="O26" s="260">
        <v>1</v>
      </c>
      <c r="P26" s="260">
        <v>1</v>
      </c>
      <c r="Q26" s="260">
        <v>1</v>
      </c>
      <c r="R26" s="148"/>
    </row>
    <row r="27" spans="1:24" s="148" customFormat="1" x14ac:dyDescent="0.25">
      <c r="A27" s="260">
        <v>4</v>
      </c>
      <c r="B27" s="329" t="str">
        <f>'пр 5 к МП'!B29:E29</f>
        <v>Цель муниципальной программы Туруханского района: развитие телекоммуникационных услуг на территории района</v>
      </c>
      <c r="C27" s="329"/>
      <c r="D27" s="329"/>
      <c r="E27" s="329"/>
      <c r="F27" s="329"/>
      <c r="G27" s="329"/>
      <c r="H27" s="329"/>
      <c r="I27" s="329"/>
      <c r="J27" s="329"/>
      <c r="K27" s="329"/>
      <c r="L27" s="329"/>
      <c r="M27" s="329"/>
      <c r="N27" s="329"/>
      <c r="O27" s="329"/>
      <c r="P27" s="329"/>
      <c r="Q27" s="329"/>
    </row>
    <row r="28" spans="1:24" s="148" customFormat="1" ht="47.25" x14ac:dyDescent="0.25">
      <c r="A28" s="272" t="s">
        <v>117</v>
      </c>
      <c r="B28" s="133" t="s">
        <v>88</v>
      </c>
      <c r="C28" s="260" t="s">
        <v>87</v>
      </c>
      <c r="D28" s="260">
        <v>8</v>
      </c>
      <c r="E28" s="260">
        <v>8</v>
      </c>
      <c r="F28" s="260">
        <v>8</v>
      </c>
      <c r="G28" s="260">
        <v>8</v>
      </c>
      <c r="H28" s="260">
        <v>8</v>
      </c>
      <c r="I28" s="260">
        <v>8</v>
      </c>
      <c r="J28" s="244">
        <v>11</v>
      </c>
      <c r="K28" s="244">
        <v>11</v>
      </c>
      <c r="L28" s="309">
        <v>11</v>
      </c>
      <c r="M28" s="309">
        <v>11</v>
      </c>
      <c r="N28" s="309">
        <v>11</v>
      </c>
      <c r="O28" s="260">
        <v>11</v>
      </c>
      <c r="P28" s="260">
        <v>11</v>
      </c>
      <c r="Q28" s="260">
        <v>11</v>
      </c>
    </row>
    <row r="29" spans="1:24" ht="38.25" customHeight="1" x14ac:dyDescent="0.25">
      <c r="A29" s="338" t="s">
        <v>336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</row>
    <row r="30" spans="1:24" ht="18.75" x14ac:dyDescent="0.25">
      <c r="A30" s="145"/>
    </row>
  </sheetData>
  <mergeCells count="30">
    <mergeCell ref="J1:Q1"/>
    <mergeCell ref="J5:Q5"/>
    <mergeCell ref="A29:Q29"/>
    <mergeCell ref="A8:Q8"/>
    <mergeCell ref="A9:Q9"/>
    <mergeCell ref="A10:Q10"/>
    <mergeCell ref="A11:Q11"/>
    <mergeCell ref="A13:A15"/>
    <mergeCell ref="B13:B15"/>
    <mergeCell ref="C13:C15"/>
    <mergeCell ref="D13:D15"/>
    <mergeCell ref="E13:Q13"/>
    <mergeCell ref="E14:E15"/>
    <mergeCell ref="F14:F15"/>
    <mergeCell ref="G14:G15"/>
    <mergeCell ref="H14:H15"/>
    <mergeCell ref="I14:I15"/>
    <mergeCell ref="B27:Q27"/>
    <mergeCell ref="A18:A19"/>
    <mergeCell ref="B18:B19"/>
    <mergeCell ref="J14:J15"/>
    <mergeCell ref="B17:Q17"/>
    <mergeCell ref="B20:Q20"/>
    <mergeCell ref="B25:Q25"/>
    <mergeCell ref="K14:K15"/>
    <mergeCell ref="P14:Q14"/>
    <mergeCell ref="L14:L15"/>
    <mergeCell ref="M14:M15"/>
    <mergeCell ref="O14:O15"/>
    <mergeCell ref="N14:N15"/>
  </mergeCells>
  <pageMargins left="0.78740157480314965" right="0.78740157480314965" top="1.1811023622047245" bottom="0.39370078740157483" header="0.31496062992125984" footer="0.31496062992125984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E34"/>
  <sheetViews>
    <sheetView view="pageBreakPreview" zoomScaleNormal="100" zoomScaleSheetLayoutView="100" workbookViewId="0">
      <selection activeCell="A4" sqref="A4:I21"/>
    </sheetView>
  </sheetViews>
  <sheetFormatPr defaultColWidth="9" defaultRowHeight="15.75" outlineLevelRow="1" x14ac:dyDescent="0.25"/>
  <cols>
    <col min="1" max="1" width="6.625" style="142" customWidth="1"/>
    <col min="2" max="2" width="15.75" style="143" customWidth="1"/>
    <col min="3" max="3" width="62.125" style="143" customWidth="1"/>
    <col min="4" max="4" width="16.375" style="143" customWidth="1"/>
    <col min="5" max="5" width="16.375" style="190" customWidth="1"/>
    <col min="6" max="6" width="13.25" style="143" customWidth="1"/>
    <col min="7" max="16384" width="9" style="143"/>
  </cols>
  <sheetData>
    <row r="1" spans="1:5" ht="18.75" x14ac:dyDescent="0.25">
      <c r="A1" s="2"/>
      <c r="B1" s="1"/>
      <c r="C1" s="1"/>
      <c r="D1" s="399" t="s">
        <v>162</v>
      </c>
      <c r="E1" s="399"/>
    </row>
    <row r="2" spans="1:5" ht="73.5" customHeight="1" x14ac:dyDescent="0.25">
      <c r="A2" s="2"/>
      <c r="B2" s="1"/>
      <c r="C2" s="1"/>
      <c r="D2" s="337" t="str">
        <f>CONCATENATE("к муниципальной программе Туруханского района """,'Приложение 6'!C16,"""")</f>
        <v>к муниципальной программе Туруханского района "Развитие транспортной системы и связи Туруханского района"</v>
      </c>
      <c r="E2" s="337"/>
    </row>
    <row r="3" spans="1:5" ht="18.75" x14ac:dyDescent="0.25">
      <c r="A3" s="218"/>
      <c r="B3" s="1"/>
      <c r="C3" s="1"/>
      <c r="D3" s="1"/>
      <c r="E3" s="226"/>
    </row>
    <row r="4" spans="1:5" ht="18.75" x14ac:dyDescent="0.25">
      <c r="A4" s="218"/>
      <c r="B4" s="1"/>
      <c r="C4" s="1"/>
      <c r="D4" s="1"/>
      <c r="E4" s="226"/>
    </row>
    <row r="5" spans="1:5" ht="18.75" x14ac:dyDescent="0.25">
      <c r="A5" s="339" t="s">
        <v>0</v>
      </c>
      <c r="B5" s="339"/>
      <c r="C5" s="339"/>
      <c r="D5" s="339"/>
      <c r="E5" s="339"/>
    </row>
    <row r="6" spans="1:5" ht="18.75" x14ac:dyDescent="0.25">
      <c r="A6" s="339" t="s">
        <v>16</v>
      </c>
      <c r="B6" s="339"/>
      <c r="C6" s="339"/>
      <c r="D6" s="339"/>
      <c r="E6" s="339"/>
    </row>
    <row r="7" spans="1:5" ht="18.75" x14ac:dyDescent="0.25">
      <c r="A7" s="339" t="s">
        <v>17</v>
      </c>
      <c r="B7" s="339"/>
      <c r="C7" s="339"/>
      <c r="D7" s="339"/>
      <c r="E7" s="339"/>
    </row>
    <row r="8" spans="1:5" ht="18.75" x14ac:dyDescent="0.25">
      <c r="A8" s="339" t="s">
        <v>18</v>
      </c>
      <c r="B8" s="339"/>
      <c r="C8" s="339"/>
      <c r="D8" s="339"/>
      <c r="E8" s="339"/>
    </row>
    <row r="9" spans="1:5" ht="18.75" x14ac:dyDescent="0.25">
      <c r="A9" s="339" t="str">
        <f>CONCATENATE("Туруханского района """,'Приложение 6'!C16,"""")</f>
        <v>Туруханского района "Развитие транспортной системы и связи Туруханского района"</v>
      </c>
      <c r="B9" s="339"/>
      <c r="C9" s="339"/>
      <c r="D9" s="339"/>
      <c r="E9" s="339"/>
    </row>
    <row r="10" spans="1:5" ht="18.75" x14ac:dyDescent="0.25">
      <c r="A10" s="218"/>
      <c r="B10" s="1"/>
      <c r="C10" s="1"/>
      <c r="D10" s="1"/>
      <c r="E10" s="226"/>
    </row>
    <row r="11" spans="1:5" ht="63" x14ac:dyDescent="0.25">
      <c r="A11" s="219" t="s">
        <v>19</v>
      </c>
      <c r="B11" s="219" t="s">
        <v>11</v>
      </c>
      <c r="C11" s="219" t="s">
        <v>12</v>
      </c>
      <c r="D11" s="219" t="s">
        <v>13</v>
      </c>
      <c r="E11" s="227" t="s">
        <v>14</v>
      </c>
    </row>
    <row r="12" spans="1:5" x14ac:dyDescent="0.25">
      <c r="A12" s="219">
        <v>1</v>
      </c>
      <c r="B12" s="219">
        <v>2</v>
      </c>
      <c r="C12" s="219">
        <v>3</v>
      </c>
      <c r="D12" s="219">
        <v>4</v>
      </c>
      <c r="E12" s="219">
        <v>5</v>
      </c>
    </row>
    <row r="13" spans="1:5" ht="41.25" customHeight="1" x14ac:dyDescent="0.25">
      <c r="A13" s="228">
        <v>1</v>
      </c>
      <c r="B13" s="400" t="s">
        <v>151</v>
      </c>
      <c r="C13" s="400"/>
      <c r="D13" s="400"/>
      <c r="E13" s="400"/>
    </row>
    <row r="14" spans="1:5" ht="36" customHeight="1" x14ac:dyDescent="0.25">
      <c r="A14" s="328" t="s">
        <v>3</v>
      </c>
      <c r="B14" s="329" t="s">
        <v>152</v>
      </c>
      <c r="C14" s="329"/>
      <c r="D14" s="329"/>
      <c r="E14" s="329"/>
    </row>
    <row r="15" spans="1:5" ht="39.75" customHeight="1" x14ac:dyDescent="0.25">
      <c r="A15" s="328"/>
      <c r="B15" s="401" t="str">
        <f>CONCATENATE("Подпрограмма 1 """,'Приложение 6'!C22,"""")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401"/>
      <c r="D15" s="401"/>
      <c r="E15" s="401"/>
    </row>
    <row r="16" spans="1:5" ht="78.75" x14ac:dyDescent="0.25">
      <c r="A16" s="217" t="s">
        <v>126</v>
      </c>
      <c r="B16" s="133" t="s">
        <v>153</v>
      </c>
      <c r="C16" s="133" t="s">
        <v>154</v>
      </c>
      <c r="D16" s="217" t="s">
        <v>66</v>
      </c>
      <c r="E16" s="230">
        <v>43435</v>
      </c>
    </row>
    <row r="17" spans="1:5" ht="94.5" x14ac:dyDescent="0.25">
      <c r="A17" s="217" t="s">
        <v>158</v>
      </c>
      <c r="B17" s="133" t="s">
        <v>153</v>
      </c>
      <c r="C17" s="133" t="s">
        <v>155</v>
      </c>
      <c r="D17" s="217" t="s">
        <v>66</v>
      </c>
      <c r="E17" s="230">
        <v>43525</v>
      </c>
    </row>
    <row r="18" spans="1:5" ht="31.5" x14ac:dyDescent="0.25">
      <c r="A18" s="217" t="s">
        <v>159</v>
      </c>
      <c r="B18" s="133" t="s">
        <v>153</v>
      </c>
      <c r="C18" s="133" t="s">
        <v>156</v>
      </c>
      <c r="D18" s="217" t="s">
        <v>157</v>
      </c>
      <c r="E18" s="230">
        <v>43405</v>
      </c>
    </row>
    <row r="19" spans="1:5" ht="18" customHeight="1" x14ac:dyDescent="0.25">
      <c r="A19" s="228">
        <v>2</v>
      </c>
      <c r="B19" s="400" t="s">
        <v>147</v>
      </c>
      <c r="C19" s="400"/>
      <c r="D19" s="400"/>
      <c r="E19" s="400"/>
    </row>
    <row r="20" spans="1:5" ht="18" customHeight="1" x14ac:dyDescent="0.25">
      <c r="A20" s="328" t="s">
        <v>84</v>
      </c>
      <c r="B20" s="329" t="s">
        <v>125</v>
      </c>
      <c r="C20" s="329"/>
      <c r="D20" s="329"/>
      <c r="E20" s="329"/>
    </row>
    <row r="21" spans="1:5" ht="18" customHeight="1" x14ac:dyDescent="0.25">
      <c r="A21" s="328"/>
      <c r="B21" s="401" t="str">
        <f>CONCATENATE("Подпрограмма 2 """,'Приложение 6'!C26,"""")</f>
        <v>Подпрограмма 2 "Организация транспортного обслуживания  на территории Туруханского района"</v>
      </c>
      <c r="C21" s="401"/>
      <c r="D21" s="401"/>
      <c r="E21" s="401"/>
    </row>
    <row r="22" spans="1:5" ht="189" x14ac:dyDescent="0.25">
      <c r="A22" s="219" t="s">
        <v>127</v>
      </c>
      <c r="B22" s="131" t="s">
        <v>108</v>
      </c>
      <c r="C22" s="131" t="s">
        <v>110</v>
      </c>
      <c r="D22" s="219" t="s">
        <v>93</v>
      </c>
      <c r="E22" s="230">
        <v>43435</v>
      </c>
    </row>
    <row r="23" spans="1:5" ht="204.75" x14ac:dyDescent="0.25">
      <c r="A23" s="219" t="s">
        <v>129</v>
      </c>
      <c r="B23" s="131" t="s">
        <v>108</v>
      </c>
      <c r="C23" s="131" t="s">
        <v>109</v>
      </c>
      <c r="D23" s="219" t="s">
        <v>93</v>
      </c>
      <c r="E23" s="230">
        <v>43435</v>
      </c>
    </row>
    <row r="24" spans="1:5" ht="19.5" customHeight="1" x14ac:dyDescent="0.25">
      <c r="A24" s="228">
        <v>3</v>
      </c>
      <c r="B24" s="412" t="s">
        <v>121</v>
      </c>
      <c r="C24" s="413"/>
      <c r="D24" s="413"/>
      <c r="E24" s="414"/>
    </row>
    <row r="25" spans="1:5" ht="24" customHeight="1" x14ac:dyDescent="0.25">
      <c r="A25" s="334" t="s">
        <v>116</v>
      </c>
      <c r="B25" s="408" t="s">
        <v>131</v>
      </c>
      <c r="C25" s="409"/>
      <c r="D25" s="409"/>
      <c r="E25" s="410"/>
    </row>
    <row r="26" spans="1:5" ht="17.25" customHeight="1" x14ac:dyDescent="0.25">
      <c r="A26" s="335"/>
      <c r="B26" s="402" t="str">
        <f>CONCATENATE("Подпрограмма 3 """,'Приложение 6'!C31,"""")</f>
        <v>Подпрограмма 3 "Безопасность дорожного движения в Туруханском районе"</v>
      </c>
      <c r="C26" s="403"/>
      <c r="D26" s="403"/>
      <c r="E26" s="404"/>
    </row>
    <row r="27" spans="1:5" hidden="1" outlineLevel="1" x14ac:dyDescent="0.25">
      <c r="A27" s="231" t="s">
        <v>128</v>
      </c>
      <c r="B27" s="232"/>
      <c r="C27" s="232"/>
      <c r="D27" s="232"/>
      <c r="E27" s="233"/>
    </row>
    <row r="28" spans="1:5" hidden="1" outlineLevel="1" x14ac:dyDescent="0.25">
      <c r="A28" s="219"/>
      <c r="B28" s="131"/>
      <c r="C28" s="131"/>
      <c r="D28" s="131"/>
      <c r="E28" s="234"/>
    </row>
    <row r="29" spans="1:5" collapsed="1" x14ac:dyDescent="0.25">
      <c r="A29" s="228">
        <v>4</v>
      </c>
      <c r="B29" s="411" t="s">
        <v>148</v>
      </c>
      <c r="C29" s="411"/>
      <c r="D29" s="411"/>
      <c r="E29" s="411"/>
    </row>
    <row r="30" spans="1:5" ht="78.75" x14ac:dyDescent="0.25">
      <c r="A30" s="219" t="s">
        <v>130</v>
      </c>
      <c r="B30" s="131" t="s">
        <v>113</v>
      </c>
      <c r="C30" s="131" t="s">
        <v>111</v>
      </c>
      <c r="D30" s="219" t="s">
        <v>112</v>
      </c>
      <c r="E30" s="227">
        <v>43435</v>
      </c>
    </row>
    <row r="31" spans="1:5" ht="31.5" customHeight="1" x14ac:dyDescent="0.25">
      <c r="A31" s="235">
        <v>5</v>
      </c>
      <c r="B31" s="405" t="s">
        <v>295</v>
      </c>
      <c r="C31" s="406"/>
      <c r="D31" s="406"/>
      <c r="E31" s="407"/>
    </row>
    <row r="32" spans="1:5" ht="63" x14ac:dyDescent="0.25">
      <c r="A32" s="236" t="s">
        <v>296</v>
      </c>
      <c r="B32" s="237" t="s">
        <v>297</v>
      </c>
      <c r="C32" s="237" t="s">
        <v>298</v>
      </c>
      <c r="D32" s="238" t="s">
        <v>65</v>
      </c>
      <c r="E32" s="227">
        <v>43891</v>
      </c>
    </row>
    <row r="33" spans="1:5" x14ac:dyDescent="0.25">
      <c r="A33" s="235">
        <v>6</v>
      </c>
      <c r="B33" s="239" t="s">
        <v>290</v>
      </c>
      <c r="C33" s="240"/>
      <c r="D33" s="241"/>
      <c r="E33" s="242"/>
    </row>
    <row r="34" spans="1:5" ht="63" x14ac:dyDescent="0.25">
      <c r="A34" s="236" t="s">
        <v>299</v>
      </c>
      <c r="B34" s="237" t="s">
        <v>297</v>
      </c>
      <c r="C34" s="243" t="s">
        <v>300</v>
      </c>
      <c r="D34" s="219" t="s">
        <v>65</v>
      </c>
      <c r="E34" s="227">
        <v>43891</v>
      </c>
    </row>
  </sheetData>
  <mergeCells count="21">
    <mergeCell ref="A25:A26"/>
    <mergeCell ref="B15:E15"/>
    <mergeCell ref="B21:E21"/>
    <mergeCell ref="B26:E26"/>
    <mergeCell ref="B31:E31"/>
    <mergeCell ref="B25:E25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1.1811023622047245" right="0.78740157480314965" top="0.78740157480314965" bottom="0.39370078740157483" header="0.31496062992125984" footer="0.31496062992125984"/>
  <pageSetup paperSize="9" scale="64" fitToHeight="0" orientation="portrait" r:id="rId1"/>
  <rowBreaks count="1" manualBreakCount="1">
    <brk id="23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O56"/>
  <sheetViews>
    <sheetView view="pageBreakPreview" zoomScale="70" zoomScaleNormal="70" zoomScaleSheetLayoutView="70" zoomScalePageLayoutView="85" workbookViewId="0">
      <selection activeCell="J1" sqref="J1:L1"/>
    </sheetView>
  </sheetViews>
  <sheetFormatPr defaultColWidth="9" defaultRowHeight="15.75" outlineLevelRow="1" x14ac:dyDescent="0.25"/>
  <cols>
    <col min="1" max="1" width="4.875" style="142" customWidth="1"/>
    <col min="2" max="2" width="16.625" style="143" customWidth="1"/>
    <col min="3" max="3" width="17.375" style="143" customWidth="1"/>
    <col min="4" max="4" width="25.625" style="143" customWidth="1"/>
    <col min="5" max="5" width="9" style="142"/>
    <col min="6" max="8" width="9" style="143"/>
    <col min="9" max="9" width="14.625" style="143" customWidth="1"/>
    <col min="10" max="10" width="18.625" style="143" bestFit="1" customWidth="1"/>
    <col min="11" max="11" width="18" style="143" customWidth="1"/>
    <col min="12" max="12" width="18.125" style="143" bestFit="1" customWidth="1"/>
    <col min="13" max="13" width="9" style="143"/>
    <col min="14" max="14" width="30.375" style="143" customWidth="1"/>
    <col min="15" max="16384" width="9" style="143"/>
  </cols>
  <sheetData>
    <row r="1" spans="1:12" ht="84" customHeight="1" outlineLevel="1" x14ac:dyDescent="0.3">
      <c r="J1" s="388" t="s">
        <v>364</v>
      </c>
      <c r="K1" s="415"/>
      <c r="L1" s="415"/>
    </row>
    <row r="2" spans="1:12" ht="24" customHeight="1" outlineLevel="1" x14ac:dyDescent="0.3">
      <c r="J2" s="318"/>
      <c r="K2" s="321"/>
      <c r="L2" s="321"/>
    </row>
    <row r="3" spans="1:12" s="1" customFormat="1" ht="24.75" customHeight="1" x14ac:dyDescent="0.3">
      <c r="A3" s="2"/>
      <c r="E3" s="2"/>
      <c r="J3" s="248" t="s">
        <v>319</v>
      </c>
      <c r="K3" s="225"/>
      <c r="L3" s="249"/>
    </row>
    <row r="4" spans="1:12" s="1" customFormat="1" ht="66" customHeight="1" x14ac:dyDescent="0.25">
      <c r="A4" s="2"/>
      <c r="E4" s="2"/>
      <c r="J4" s="337" t="str">
        <f>CONCATENATE("к муниципальной программе Туруханского района """,'Приложение 6'!C16,"""")</f>
        <v>к муниципальной программе Туруханского района "Развитие транспортной системы и связи Туруханского района"</v>
      </c>
      <c r="K4" s="337"/>
      <c r="L4" s="337"/>
    </row>
    <row r="5" spans="1:12" ht="18.75" x14ac:dyDescent="0.25">
      <c r="A5" s="145"/>
    </row>
    <row r="6" spans="1:12" ht="18.75" x14ac:dyDescent="0.25">
      <c r="A6" s="145"/>
    </row>
    <row r="7" spans="1:12" ht="18.75" x14ac:dyDescent="0.25">
      <c r="A7" s="339" t="s">
        <v>0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</row>
    <row r="8" spans="1:12" ht="18.75" x14ac:dyDescent="0.25">
      <c r="A8" s="339" t="s">
        <v>114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</row>
    <row r="9" spans="1:12" ht="18.75" x14ac:dyDescent="0.25">
      <c r="A9" s="339" t="s">
        <v>115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</row>
    <row r="10" spans="1:12" ht="18.75" x14ac:dyDescent="0.25">
      <c r="A10" s="339" t="s">
        <v>36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</row>
    <row r="11" spans="1:12" ht="18.75" x14ac:dyDescent="0.25">
      <c r="A11" s="224"/>
      <c r="B11" s="1"/>
      <c r="C11" s="1"/>
      <c r="D11" s="1"/>
      <c r="E11" s="2"/>
      <c r="F11" s="1"/>
      <c r="G11" s="1"/>
      <c r="H11" s="1"/>
      <c r="I11" s="1"/>
      <c r="J11" s="1"/>
      <c r="K11" s="1"/>
      <c r="L11" s="1"/>
    </row>
    <row r="12" spans="1:12" ht="18.75" x14ac:dyDescent="0.25">
      <c r="A12" s="2"/>
      <c r="B12" s="1"/>
      <c r="C12" s="1"/>
      <c r="D12" s="1"/>
      <c r="E12" s="2"/>
      <c r="F12" s="1"/>
      <c r="G12" s="1"/>
      <c r="H12" s="1"/>
      <c r="I12" s="1"/>
      <c r="J12" s="1"/>
      <c r="K12" s="1"/>
      <c r="L12" s="3" t="s">
        <v>208</v>
      </c>
    </row>
    <row r="13" spans="1:12" ht="36" customHeight="1" x14ac:dyDescent="0.25">
      <c r="A13" s="419" t="s">
        <v>19</v>
      </c>
      <c r="B13" s="420" t="s">
        <v>33</v>
      </c>
      <c r="C13" s="419" t="s">
        <v>34</v>
      </c>
      <c r="D13" s="419" t="s">
        <v>22</v>
      </c>
      <c r="E13" s="419" t="s">
        <v>23</v>
      </c>
      <c r="F13" s="419"/>
      <c r="G13" s="419"/>
      <c r="H13" s="419"/>
      <c r="I13" s="222">
        <f>'Приложение 7'!M$15</f>
        <v>2022</v>
      </c>
      <c r="J13" s="222">
        <f>'Приложение 7'!N$15</f>
        <v>2023</v>
      </c>
      <c r="K13" s="222">
        <f>'Приложение 7'!O$15</f>
        <v>2024</v>
      </c>
      <c r="L13" s="419" t="s">
        <v>24</v>
      </c>
    </row>
    <row r="14" spans="1:12" ht="36" customHeight="1" x14ac:dyDescent="0.25">
      <c r="A14" s="419"/>
      <c r="B14" s="420"/>
      <c r="C14" s="419"/>
      <c r="D14" s="419"/>
      <c r="E14" s="222" t="s">
        <v>25</v>
      </c>
      <c r="F14" s="222" t="s">
        <v>26</v>
      </c>
      <c r="G14" s="222" t="s">
        <v>27</v>
      </c>
      <c r="H14" s="222" t="s">
        <v>28</v>
      </c>
      <c r="I14" s="222" t="s">
        <v>29</v>
      </c>
      <c r="J14" s="222" t="s">
        <v>29</v>
      </c>
      <c r="K14" s="222" t="s">
        <v>29</v>
      </c>
      <c r="L14" s="419"/>
    </row>
    <row r="15" spans="1:12" x14ac:dyDescent="0.25">
      <c r="A15" s="223">
        <v>1</v>
      </c>
      <c r="B15" s="223">
        <v>2</v>
      </c>
      <c r="C15" s="223">
        <v>3</v>
      </c>
      <c r="D15" s="223">
        <v>4</v>
      </c>
      <c r="E15" s="223">
        <v>5</v>
      </c>
      <c r="F15" s="223">
        <v>6</v>
      </c>
      <c r="G15" s="223">
        <v>7</v>
      </c>
      <c r="H15" s="223">
        <v>8</v>
      </c>
      <c r="I15" s="223">
        <v>9</v>
      </c>
      <c r="J15" s="223">
        <v>10</v>
      </c>
      <c r="K15" s="223">
        <v>11</v>
      </c>
      <c r="L15" s="223">
        <v>12</v>
      </c>
    </row>
    <row r="16" spans="1:12" s="307" customFormat="1" ht="63" x14ac:dyDescent="0.25">
      <c r="A16" s="418">
        <v>1</v>
      </c>
      <c r="B16" s="421" t="s">
        <v>39</v>
      </c>
      <c r="C16" s="421" t="s">
        <v>102</v>
      </c>
      <c r="D16" s="306" t="s">
        <v>103</v>
      </c>
      <c r="E16" s="244" t="s">
        <v>30</v>
      </c>
      <c r="F16" s="244" t="s">
        <v>30</v>
      </c>
      <c r="G16" s="244" t="s">
        <v>30</v>
      </c>
      <c r="H16" s="244" t="s">
        <v>30</v>
      </c>
      <c r="I16" s="115">
        <f>SUM(I18:I21)</f>
        <v>367612.89500000002</v>
      </c>
      <c r="J16" s="115">
        <f t="shared" ref="J16:K16" si="0">SUM(J18:J21)</f>
        <v>259573.18099999998</v>
      </c>
      <c r="K16" s="115">
        <f t="shared" si="0"/>
        <v>259573.18099999998</v>
      </c>
      <c r="L16" s="115">
        <f>SUM(I16:K16)</f>
        <v>886759.25699999998</v>
      </c>
    </row>
    <row r="17" spans="1:15" s="307" customFormat="1" x14ac:dyDescent="0.25">
      <c r="A17" s="418"/>
      <c r="B17" s="421"/>
      <c r="C17" s="421"/>
      <c r="D17" s="306" t="s">
        <v>31</v>
      </c>
      <c r="E17" s="244"/>
      <c r="F17" s="244" t="s">
        <v>30</v>
      </c>
      <c r="G17" s="244" t="s">
        <v>30</v>
      </c>
      <c r="H17" s="244" t="s">
        <v>30</v>
      </c>
      <c r="I17" s="115"/>
      <c r="J17" s="115"/>
      <c r="K17" s="115"/>
      <c r="L17" s="115">
        <f t="shared" ref="L17:L36" si="1">SUM(I17:K17)</f>
        <v>0</v>
      </c>
    </row>
    <row r="18" spans="1:15" s="307" customFormat="1" ht="31.5" x14ac:dyDescent="0.25">
      <c r="A18" s="418"/>
      <c r="B18" s="421"/>
      <c r="C18" s="421"/>
      <c r="D18" s="306" t="s">
        <v>65</v>
      </c>
      <c r="E18" s="244">
        <v>241</v>
      </c>
      <c r="F18" s="244" t="s">
        <v>30</v>
      </c>
      <c r="G18" s="244" t="s">
        <v>30</v>
      </c>
      <c r="H18" s="244" t="s">
        <v>30</v>
      </c>
      <c r="I18" s="115">
        <f>SUMIF($D$22:$D$38,$D18,I$22:I$38)</f>
        <v>238740.296</v>
      </c>
      <c r="J18" s="115">
        <f t="shared" ref="J18:K18" si="2">SUMIF($D$22:$D$38,$D18,J$22:J$38)</f>
        <v>189299.296</v>
      </c>
      <c r="K18" s="115">
        <f t="shared" si="2"/>
        <v>189299.296</v>
      </c>
      <c r="L18" s="115">
        <f t="shared" si="1"/>
        <v>617338.88800000004</v>
      </c>
    </row>
    <row r="19" spans="1:15" s="307" customFormat="1" ht="47.25" x14ac:dyDescent="0.25">
      <c r="A19" s="418"/>
      <c r="B19" s="421"/>
      <c r="C19" s="421"/>
      <c r="D19" s="306" t="s">
        <v>94</v>
      </c>
      <c r="E19" s="244">
        <v>242</v>
      </c>
      <c r="F19" s="244" t="s">
        <v>30</v>
      </c>
      <c r="G19" s="244" t="s">
        <v>30</v>
      </c>
      <c r="H19" s="244" t="s">
        <v>30</v>
      </c>
      <c r="I19" s="115">
        <f t="shared" ref="I19:K21" si="3">SUMIF($D$22:$D$38,$D19,I$22:I$38)</f>
        <v>11639.843999999999</v>
      </c>
      <c r="J19" s="115">
        <f t="shared" si="3"/>
        <v>1650.83</v>
      </c>
      <c r="K19" s="115">
        <f t="shared" si="3"/>
        <v>1650.83</v>
      </c>
      <c r="L19" s="115">
        <f t="shared" si="1"/>
        <v>14941.503999999999</v>
      </c>
    </row>
    <row r="20" spans="1:15" s="307" customFormat="1" ht="63" x14ac:dyDescent="0.25">
      <c r="A20" s="418"/>
      <c r="B20" s="421"/>
      <c r="C20" s="421"/>
      <c r="D20" s="306" t="s">
        <v>66</v>
      </c>
      <c r="E20" s="244">
        <v>247</v>
      </c>
      <c r="F20" s="244" t="s">
        <v>30</v>
      </c>
      <c r="G20" s="244" t="s">
        <v>30</v>
      </c>
      <c r="H20" s="244" t="s">
        <v>30</v>
      </c>
      <c r="I20" s="115">
        <f>I25+I33</f>
        <v>117232.755</v>
      </c>
      <c r="J20" s="115">
        <f>J25+J33</f>
        <v>68623.054999999993</v>
      </c>
      <c r="K20" s="115">
        <f>K25+K33</f>
        <v>68623.054999999993</v>
      </c>
      <c r="L20" s="115">
        <f>I20+J20+K20</f>
        <v>254478.86499999999</v>
      </c>
    </row>
    <row r="21" spans="1:15" s="307" customFormat="1" ht="47.25" x14ac:dyDescent="0.25">
      <c r="A21" s="418"/>
      <c r="B21" s="421"/>
      <c r="C21" s="421"/>
      <c r="D21" s="306" t="s">
        <v>214</v>
      </c>
      <c r="E21" s="244">
        <v>243</v>
      </c>
      <c r="F21" s="244" t="s">
        <v>30</v>
      </c>
      <c r="G21" s="244" t="s">
        <v>30</v>
      </c>
      <c r="H21" s="244" t="s">
        <v>30</v>
      </c>
      <c r="I21" s="115">
        <f t="shared" si="3"/>
        <v>0</v>
      </c>
      <c r="J21" s="115">
        <f t="shared" si="3"/>
        <v>0</v>
      </c>
      <c r="K21" s="115">
        <f t="shared" si="3"/>
        <v>0</v>
      </c>
      <c r="L21" s="115">
        <f>SUM(I21:K21)</f>
        <v>0</v>
      </c>
    </row>
    <row r="22" spans="1:15" ht="78.75" x14ac:dyDescent="0.25">
      <c r="A22" s="416" t="s">
        <v>3</v>
      </c>
      <c r="B22" s="417" t="s">
        <v>15</v>
      </c>
      <c r="C22" s="417" t="s">
        <v>118</v>
      </c>
      <c r="D22" s="229" t="s">
        <v>35</v>
      </c>
      <c r="E22" s="223"/>
      <c r="F22" s="223" t="s">
        <v>30</v>
      </c>
      <c r="G22" s="223" t="s">
        <v>30</v>
      </c>
      <c r="H22" s="223" t="s">
        <v>30</v>
      </c>
      <c r="I22" s="115">
        <f>I24+I25</f>
        <v>127137.735</v>
      </c>
      <c r="J22" s="115">
        <f t="shared" ref="J22:K22" si="4">J24+J25</f>
        <v>70273.884999999995</v>
      </c>
      <c r="K22" s="115">
        <f t="shared" si="4"/>
        <v>70273.884999999995</v>
      </c>
      <c r="L22" s="115">
        <f>L24+L25</f>
        <v>267685.505</v>
      </c>
      <c r="N22" s="247">
        <f>I22+J22+K22</f>
        <v>267685.505</v>
      </c>
      <c r="O22" s="247">
        <f>N22-L22</f>
        <v>0</v>
      </c>
    </row>
    <row r="23" spans="1:15" x14ac:dyDescent="0.25">
      <c r="A23" s="416"/>
      <c r="B23" s="417"/>
      <c r="C23" s="417"/>
      <c r="D23" s="229" t="s">
        <v>31</v>
      </c>
      <c r="E23" s="223"/>
      <c r="F23" s="223" t="s">
        <v>30</v>
      </c>
      <c r="G23" s="223" t="s">
        <v>30</v>
      </c>
      <c r="H23" s="223" t="s">
        <v>30</v>
      </c>
      <c r="I23" s="115"/>
      <c r="J23" s="115"/>
      <c r="K23" s="115"/>
      <c r="L23" s="115">
        <f t="shared" si="1"/>
        <v>0</v>
      </c>
    </row>
    <row r="24" spans="1:15" ht="57" customHeight="1" x14ac:dyDescent="0.25">
      <c r="A24" s="416"/>
      <c r="B24" s="417"/>
      <c r="C24" s="417"/>
      <c r="D24" s="229" t="s">
        <v>94</v>
      </c>
      <c r="E24" s="223">
        <f>E19</f>
        <v>242</v>
      </c>
      <c r="F24" s="223" t="s">
        <v>30</v>
      </c>
      <c r="G24" s="223" t="s">
        <v>30</v>
      </c>
      <c r="H24" s="223" t="s">
        <v>30</v>
      </c>
      <c r="I24" s="115">
        <f>'пр к ПП1'!H19</f>
        <v>9904.98</v>
      </c>
      <c r="J24" s="115">
        <f>'пр к ПП1'!I19</f>
        <v>1650.83</v>
      </c>
      <c r="K24" s="115">
        <f>'пр к ПП1'!J19</f>
        <v>1650.83</v>
      </c>
      <c r="L24" s="115">
        <f>SUM(I24:K24)</f>
        <v>13206.64</v>
      </c>
      <c r="N24" s="216"/>
    </row>
    <row r="25" spans="1:15" ht="63" x14ac:dyDescent="0.25">
      <c r="A25" s="416"/>
      <c r="B25" s="417"/>
      <c r="C25" s="417"/>
      <c r="D25" s="229" t="s">
        <v>66</v>
      </c>
      <c r="E25" s="223">
        <f>E20</f>
        <v>247</v>
      </c>
      <c r="F25" s="223" t="s">
        <v>30</v>
      </c>
      <c r="G25" s="223" t="s">
        <v>30</v>
      </c>
      <c r="H25" s="223" t="s">
        <v>30</v>
      </c>
      <c r="I25" s="115">
        <f>'пр к ПП1'!H15+'пр к ПП1'!H17+'пр к ПП1'!H20+'пр к ПП1'!H22+'пр к ПП1'!H26+'пр к ПП1'!H27+'пр к ПП1'!H29+'пр к ПП1'!H31+'пр к ПП1'!H33</f>
        <v>117232.755</v>
      </c>
      <c r="J25" s="115">
        <f>'пр к ПП1'!I15+'пр к ПП1'!I17+'пр к ПП1'!I20+'пр к ПП1'!I22+'пр к ПП1'!I26+'пр к ПП1'!I27+'пр к ПП1'!I29+'пр к ПП1'!I31+'пр к ПП1'!I33</f>
        <v>68623.054999999993</v>
      </c>
      <c r="K25" s="115">
        <f>'пр к ПП1'!J15+'пр к ПП1'!J17+'пр к ПП1'!J20+'пр к ПП1'!J22+'пр к ПП1'!J26+'пр к ПП1'!J27+'пр к ПП1'!J29+'пр к ПП1'!J31+'пр к ПП1'!J33</f>
        <v>68623.054999999993</v>
      </c>
      <c r="L25" s="115">
        <f>SUM(I25:K25)</f>
        <v>254478.86499999999</v>
      </c>
    </row>
    <row r="26" spans="1:15" ht="31.5" x14ac:dyDescent="0.25">
      <c r="A26" s="416" t="s">
        <v>83</v>
      </c>
      <c r="B26" s="417" t="s">
        <v>90</v>
      </c>
      <c r="C26" s="417" t="s">
        <v>97</v>
      </c>
      <c r="D26" s="131" t="s">
        <v>32</v>
      </c>
      <c r="E26" s="130"/>
      <c r="F26" s="130" t="s">
        <v>30</v>
      </c>
      <c r="G26" s="130" t="s">
        <v>30</v>
      </c>
      <c r="H26" s="130" t="s">
        <v>30</v>
      </c>
      <c r="I26" s="115">
        <f>I28+I29+I30</f>
        <v>228140.296</v>
      </c>
      <c r="J26" s="115">
        <f t="shared" ref="J26:K26" si="5">J28+J29+J30</f>
        <v>178699.296</v>
      </c>
      <c r="K26" s="115">
        <f t="shared" si="5"/>
        <v>178699.296</v>
      </c>
      <c r="L26" s="115">
        <f>L28+L29+L30</f>
        <v>585538.88799999992</v>
      </c>
    </row>
    <row r="27" spans="1:15" x14ac:dyDescent="0.25">
      <c r="A27" s="416"/>
      <c r="B27" s="417"/>
      <c r="C27" s="417"/>
      <c r="D27" s="131" t="s">
        <v>31</v>
      </c>
      <c r="E27" s="130"/>
      <c r="F27" s="130" t="s">
        <v>30</v>
      </c>
      <c r="G27" s="130" t="s">
        <v>30</v>
      </c>
      <c r="H27" s="130" t="s">
        <v>30</v>
      </c>
      <c r="I27" s="115"/>
      <c r="J27" s="115"/>
      <c r="K27" s="115"/>
      <c r="L27" s="115">
        <f t="shared" si="1"/>
        <v>0</v>
      </c>
    </row>
    <row r="28" spans="1:15" ht="31.5" x14ac:dyDescent="0.25">
      <c r="A28" s="416"/>
      <c r="B28" s="417"/>
      <c r="C28" s="417"/>
      <c r="D28" s="131" t="s">
        <v>65</v>
      </c>
      <c r="E28" s="130">
        <f>E18</f>
        <v>241</v>
      </c>
      <c r="F28" s="130" t="s">
        <v>30</v>
      </c>
      <c r="G28" s="130" t="s">
        <v>30</v>
      </c>
      <c r="H28" s="130" t="s">
        <v>30</v>
      </c>
      <c r="I28" s="115">
        <f>'пр к ПП2'!H15+'пр к ПП2'!H17+'пр к ПП2'!H27+'пр к ПП2'!H30+'пр к ПП2'!H33+'пр к ПП2'!H36+'пр к ПП2'!H39+'пр к ПП2'!H43</f>
        <v>228140.296</v>
      </c>
      <c r="J28" s="115">
        <f>'пр к ПП2'!I15+'пр к ПП2'!I17+'пр к ПП2'!I27+'пр к ПП2'!I30+'пр к ПП2'!I33+'пр к ПП2'!I36+'пр к ПП2'!I39+'пр к ПП2'!I43</f>
        <v>178699.296</v>
      </c>
      <c r="K28" s="115">
        <f>'пр к ПП2'!J15+'пр к ПП2'!J17+'пр к ПП2'!J27+'пр к ПП2'!J30+'пр к ПП2'!J33+'пр к ПП2'!J36+'пр к ПП2'!J39+'пр к ПП2'!J43</f>
        <v>178699.296</v>
      </c>
      <c r="L28" s="115">
        <f>'пр к ПП2'!K15+'пр к ПП2'!K17+'пр к ПП2'!K27+'пр к ПП2'!K30+'пр к ПП2'!K33+'пр к ПП2'!K36+'пр к ПП2'!K39+'пр к ПП2'!K43</f>
        <v>585538.88799999992</v>
      </c>
      <c r="N28" s="216"/>
    </row>
    <row r="29" spans="1:15" ht="47.25" x14ac:dyDescent="0.25">
      <c r="A29" s="416"/>
      <c r="B29" s="417"/>
      <c r="C29" s="417"/>
      <c r="D29" s="131" t="s">
        <v>94</v>
      </c>
      <c r="E29" s="134">
        <f>E19</f>
        <v>242</v>
      </c>
      <c r="F29" s="130" t="s">
        <v>30</v>
      </c>
      <c r="G29" s="130" t="s">
        <v>30</v>
      </c>
      <c r="H29" s="130" t="s">
        <v>30</v>
      </c>
      <c r="I29" s="115">
        <f>'пр к ПП2'!H22</f>
        <v>0</v>
      </c>
      <c r="J29" s="115">
        <f>'пр к ПП2'!I22</f>
        <v>0</v>
      </c>
      <c r="K29" s="115">
        <f>'пр к ПП2'!J22</f>
        <v>0</v>
      </c>
      <c r="L29" s="115">
        <f>SUM(I29:K29)</f>
        <v>0</v>
      </c>
    </row>
    <row r="30" spans="1:15" ht="63" x14ac:dyDescent="0.25">
      <c r="A30" s="416"/>
      <c r="B30" s="417"/>
      <c r="C30" s="417"/>
      <c r="D30" s="131" t="s">
        <v>66</v>
      </c>
      <c r="E30" s="130">
        <f>E25</f>
        <v>247</v>
      </c>
      <c r="F30" s="130" t="s">
        <v>30</v>
      </c>
      <c r="G30" s="130" t="s">
        <v>30</v>
      </c>
      <c r="H30" s="130" t="s">
        <v>30</v>
      </c>
      <c r="I30" s="115">
        <f>'пр к ПП2'!H24</f>
        <v>0</v>
      </c>
      <c r="J30" s="115">
        <f>'пр к ПП2'!I24</f>
        <v>0</v>
      </c>
      <c r="K30" s="115">
        <f>'пр к ПП2'!J24</f>
        <v>0</v>
      </c>
      <c r="L30" s="115">
        <f t="shared" ref="L30" si="6">SUM(I30:K30)</f>
        <v>0</v>
      </c>
    </row>
    <row r="31" spans="1:15" ht="31.5" customHeight="1" x14ac:dyDescent="0.25">
      <c r="A31" s="416" t="s">
        <v>85</v>
      </c>
      <c r="B31" s="417" t="s">
        <v>91</v>
      </c>
      <c r="C31" s="417" t="s">
        <v>98</v>
      </c>
      <c r="D31" s="229" t="s">
        <v>32</v>
      </c>
      <c r="E31" s="223"/>
      <c r="F31" s="223" t="s">
        <v>30</v>
      </c>
      <c r="G31" s="223" t="s">
        <v>30</v>
      </c>
      <c r="H31" s="223" t="s">
        <v>30</v>
      </c>
      <c r="I31" s="115">
        <f>'пр к ПП3'!H24</f>
        <v>0</v>
      </c>
      <c r="J31" s="115">
        <f>'пр к ПП3'!I24</f>
        <v>0</v>
      </c>
      <c r="K31" s="115">
        <f>'пр к ПП3'!J24</f>
        <v>0</v>
      </c>
      <c r="L31" s="115">
        <f>'пр к ПП3'!K24</f>
        <v>0</v>
      </c>
    </row>
    <row r="32" spans="1:15" x14ac:dyDescent="0.25">
      <c r="A32" s="416"/>
      <c r="B32" s="417"/>
      <c r="C32" s="417"/>
      <c r="D32" s="229" t="s">
        <v>31</v>
      </c>
      <c r="E32" s="223"/>
      <c r="F32" s="223" t="s">
        <v>30</v>
      </c>
      <c r="G32" s="223" t="s">
        <v>30</v>
      </c>
      <c r="H32" s="223" t="s">
        <v>30</v>
      </c>
      <c r="I32" s="115"/>
      <c r="J32" s="115"/>
      <c r="K32" s="115"/>
      <c r="L32" s="115">
        <f t="shared" si="1"/>
        <v>0</v>
      </c>
    </row>
    <row r="33" spans="1:14" ht="63" x14ac:dyDescent="0.25">
      <c r="A33" s="416"/>
      <c r="B33" s="417"/>
      <c r="C33" s="417"/>
      <c r="D33" s="229" t="s">
        <v>66</v>
      </c>
      <c r="E33" s="223">
        <f>E20</f>
        <v>247</v>
      </c>
      <c r="F33" s="223" t="s">
        <v>30</v>
      </c>
      <c r="G33" s="223" t="s">
        <v>30</v>
      </c>
      <c r="H33" s="223" t="s">
        <v>30</v>
      </c>
      <c r="I33" s="115">
        <f>'пр к ПП3'!H17+'пр к ПП3'!H19+'пр к ПП3'!H23</f>
        <v>0</v>
      </c>
      <c r="J33" s="115">
        <f>'пр к ПП3'!I17+'пр к ПП3'!I19+'пр к ПП3'!I23</f>
        <v>0</v>
      </c>
      <c r="K33" s="115">
        <f>'пр к ПП3'!J17+'пр к ПП3'!J19+'пр к ПП3'!J23</f>
        <v>0</v>
      </c>
      <c r="L33" s="115">
        <f>'пр к ПП3'!K17+'пр к ПП3'!K19+'пр к ПП3'!K23</f>
        <v>0</v>
      </c>
    </row>
    <row r="34" spans="1:14" ht="47.25" x14ac:dyDescent="0.25">
      <c r="A34" s="416"/>
      <c r="B34" s="417"/>
      <c r="C34" s="417"/>
      <c r="D34" s="229" t="s">
        <v>214</v>
      </c>
      <c r="E34" s="220">
        <f>E21</f>
        <v>243</v>
      </c>
      <c r="F34" s="223" t="s">
        <v>30</v>
      </c>
      <c r="G34" s="223" t="s">
        <v>30</v>
      </c>
      <c r="H34" s="223" t="s">
        <v>30</v>
      </c>
      <c r="I34" s="115">
        <f>'пр к ПП3'!H15+'пр к ПП3'!H16</f>
        <v>0</v>
      </c>
      <c r="J34" s="115">
        <f>'пр к ПП3'!I15+'пр к ПП3'!I16</f>
        <v>0</v>
      </c>
      <c r="K34" s="115">
        <f>'пр к ПП3'!J15+'пр к ПП3'!J16</f>
        <v>0</v>
      </c>
      <c r="L34" s="115">
        <f>SUM(I34:K34)</f>
        <v>0</v>
      </c>
    </row>
    <row r="35" spans="1:14" ht="31.5" customHeight="1" x14ac:dyDescent="0.25">
      <c r="A35" s="416" t="s">
        <v>86</v>
      </c>
      <c r="B35" s="417" t="s">
        <v>92</v>
      </c>
      <c r="C35" s="417" t="s">
        <v>161</v>
      </c>
      <c r="D35" s="131" t="s">
        <v>32</v>
      </c>
      <c r="E35" s="130"/>
      <c r="F35" s="130" t="s">
        <v>30</v>
      </c>
      <c r="G35" s="130" t="s">
        <v>30</v>
      </c>
      <c r="H35" s="130" t="s">
        <v>30</v>
      </c>
      <c r="I35" s="115">
        <f>I37+I38</f>
        <v>12334.864</v>
      </c>
      <c r="J35" s="115">
        <f t="shared" ref="J35:K35" si="7">J37+J38</f>
        <v>10600</v>
      </c>
      <c r="K35" s="115">
        <f t="shared" si="7"/>
        <v>10600</v>
      </c>
      <c r="L35" s="115">
        <f>L37+L38</f>
        <v>33534.864000000001</v>
      </c>
      <c r="N35" s="247">
        <f>K35+J35+I35-L35</f>
        <v>0</v>
      </c>
    </row>
    <row r="36" spans="1:14" x14ac:dyDescent="0.25">
      <c r="A36" s="416"/>
      <c r="B36" s="417"/>
      <c r="C36" s="417"/>
      <c r="D36" s="131" t="s">
        <v>31</v>
      </c>
      <c r="E36" s="130"/>
      <c r="F36" s="130" t="s">
        <v>30</v>
      </c>
      <c r="G36" s="130" t="s">
        <v>30</v>
      </c>
      <c r="H36" s="130" t="s">
        <v>30</v>
      </c>
      <c r="I36" s="115"/>
      <c r="J36" s="115"/>
      <c r="K36" s="115"/>
      <c r="L36" s="115">
        <f t="shared" si="1"/>
        <v>0</v>
      </c>
    </row>
    <row r="37" spans="1:14" ht="31.5" x14ac:dyDescent="0.25">
      <c r="A37" s="416"/>
      <c r="B37" s="417"/>
      <c r="C37" s="417"/>
      <c r="D37" s="131" t="s">
        <v>65</v>
      </c>
      <c r="E37" s="130">
        <f>E28</f>
        <v>241</v>
      </c>
      <c r="F37" s="130" t="s">
        <v>30</v>
      </c>
      <c r="G37" s="130" t="s">
        <v>30</v>
      </c>
      <c r="H37" s="130" t="s">
        <v>30</v>
      </c>
      <c r="I37" s="115">
        <f>'пр к ПП4'!H15</f>
        <v>10600</v>
      </c>
      <c r="J37" s="115">
        <f>'пр к ПП4'!I15</f>
        <v>10600</v>
      </c>
      <c r="K37" s="115">
        <f>'пр к ПП4'!J15</f>
        <v>10600</v>
      </c>
      <c r="L37" s="115">
        <f>SUM(I37:K37)</f>
        <v>31800</v>
      </c>
    </row>
    <row r="38" spans="1:14" ht="47.25" x14ac:dyDescent="0.25">
      <c r="A38" s="416"/>
      <c r="B38" s="417"/>
      <c r="C38" s="417"/>
      <c r="D38" s="131" t="s">
        <v>94</v>
      </c>
      <c r="E38" s="130">
        <f>E29</f>
        <v>242</v>
      </c>
      <c r="F38" s="130" t="s">
        <v>30</v>
      </c>
      <c r="G38" s="130" t="s">
        <v>30</v>
      </c>
      <c r="H38" s="130" t="s">
        <v>30</v>
      </c>
      <c r="I38" s="115">
        <f>'пр к ПП4'!H19</f>
        <v>1734.864</v>
      </c>
      <c r="J38" s="115">
        <f>'пр к ПП4'!I19</f>
        <v>0</v>
      </c>
      <c r="K38" s="115">
        <f>'пр к ПП4'!J19</f>
        <v>0</v>
      </c>
      <c r="L38" s="115">
        <f>SUM(I38:K38)</f>
        <v>1734.864</v>
      </c>
    </row>
    <row r="46" spans="1:14" x14ac:dyDescent="0.25">
      <c r="B46" s="143" t="s">
        <v>223</v>
      </c>
    </row>
    <row r="47" spans="1:14" x14ac:dyDescent="0.25">
      <c r="B47" s="143" t="s">
        <v>224</v>
      </c>
      <c r="I47" s="143" t="b">
        <f>I22='пр к ПП1'!H35</f>
        <v>1</v>
      </c>
      <c r="J47" s="143" t="b">
        <f>J22='пр к ПП1'!I35</f>
        <v>1</v>
      </c>
      <c r="K47" s="143" t="b">
        <f>K22='пр к ПП1'!J35</f>
        <v>1</v>
      </c>
      <c r="L47" s="143" t="b">
        <f>L22='пр к ПП1'!K35</f>
        <v>1</v>
      </c>
    </row>
    <row r="48" spans="1:14" x14ac:dyDescent="0.25">
      <c r="B48" s="143" t="s">
        <v>225</v>
      </c>
      <c r="I48" s="143" t="b">
        <f>I26='пр к ПП2'!H44</f>
        <v>1</v>
      </c>
      <c r="J48" s="143" t="b">
        <f>J26='пр к ПП2'!I44</f>
        <v>1</v>
      </c>
      <c r="K48" s="143" t="b">
        <f>K26='пр к ПП2'!J44</f>
        <v>1</v>
      </c>
      <c r="L48" s="143" t="b">
        <f>L26='пр к ПП2'!K44</f>
        <v>1</v>
      </c>
    </row>
    <row r="49" spans="2:12" x14ac:dyDescent="0.25">
      <c r="B49" s="143" t="s">
        <v>226</v>
      </c>
      <c r="I49" s="143" t="b">
        <f>I31='пр к ПП3'!H24</f>
        <v>1</v>
      </c>
      <c r="J49" s="143" t="b">
        <f>J31='пр к ПП3'!I24</f>
        <v>1</v>
      </c>
      <c r="K49" s="143" t="b">
        <f>K31='пр к ПП3'!J24</f>
        <v>1</v>
      </c>
      <c r="L49" s="143" t="b">
        <f>L31='пр к ПП3'!K24</f>
        <v>1</v>
      </c>
    </row>
    <row r="50" spans="2:12" x14ac:dyDescent="0.25">
      <c r="B50" s="143" t="s">
        <v>227</v>
      </c>
      <c r="I50" s="143" t="b">
        <f>I35='пр к ПП4'!H20</f>
        <v>1</v>
      </c>
      <c r="J50" s="143" t="b">
        <f>J35='пр к ПП4'!I20</f>
        <v>1</v>
      </c>
      <c r="K50" s="143" t="b">
        <f>K35='пр к ПП4'!J20</f>
        <v>1</v>
      </c>
      <c r="L50" s="143" t="b">
        <f>L35='пр к ПП4'!K20</f>
        <v>1</v>
      </c>
    </row>
    <row r="53" spans="2:12" x14ac:dyDescent="0.25">
      <c r="B53" s="143" t="s">
        <v>224</v>
      </c>
      <c r="I53" s="191">
        <f>I22-'пр к ПП1'!H35</f>
        <v>0</v>
      </c>
      <c r="J53" s="191">
        <f>J22-'пр к ПП1'!I35</f>
        <v>0</v>
      </c>
      <c r="K53" s="191">
        <f>K22-'пр к ПП1'!J35</f>
        <v>0</v>
      </c>
      <c r="L53" s="191">
        <f>L22-'пр к ПП1'!K35</f>
        <v>0</v>
      </c>
    </row>
    <row r="54" spans="2:12" x14ac:dyDescent="0.25">
      <c r="B54" s="143" t="s">
        <v>225</v>
      </c>
      <c r="I54" s="191">
        <f>I26-'пр к ПП2'!H44</f>
        <v>0</v>
      </c>
      <c r="J54" s="191">
        <f>J26-'пр к ПП2'!I44</f>
        <v>0</v>
      </c>
      <c r="K54" s="191">
        <f>K26-'пр к ПП2'!J44</f>
        <v>0</v>
      </c>
      <c r="L54" s="191">
        <f>L26-'пр к ПП2'!K44</f>
        <v>0</v>
      </c>
    </row>
    <row r="55" spans="2:12" x14ac:dyDescent="0.25">
      <c r="B55" s="143" t="s">
        <v>226</v>
      </c>
      <c r="I55" s="191">
        <f>I31-'пр к ПП3'!H24</f>
        <v>0</v>
      </c>
      <c r="J55" s="191">
        <f>J31-'пр к ПП3'!I24</f>
        <v>0</v>
      </c>
      <c r="K55" s="191">
        <f>K31-'пр к ПП3'!J24</f>
        <v>0</v>
      </c>
      <c r="L55" s="191">
        <f>L31-'пр к ПП3'!K24</f>
        <v>0</v>
      </c>
    </row>
    <row r="56" spans="2:12" x14ac:dyDescent="0.25">
      <c r="B56" s="143" t="s">
        <v>227</v>
      </c>
      <c r="I56" s="191">
        <f>I35-'пр к ПП4'!H20</f>
        <v>0</v>
      </c>
      <c r="J56" s="191">
        <f>J35-'пр к ПП4'!I20</f>
        <v>0</v>
      </c>
      <c r="K56" s="191">
        <f>K35-'пр к ПП4'!J20</f>
        <v>0</v>
      </c>
      <c r="L56" s="191">
        <f>L35-'пр к ПП4'!K20</f>
        <v>0</v>
      </c>
    </row>
  </sheetData>
  <mergeCells count="27">
    <mergeCell ref="A35:A38"/>
    <mergeCell ref="B35:B38"/>
    <mergeCell ref="C35:C38"/>
    <mergeCell ref="J4:L4"/>
    <mergeCell ref="L13:L14"/>
    <mergeCell ref="A13:A14"/>
    <mergeCell ref="B13:B14"/>
    <mergeCell ref="C13:C14"/>
    <mergeCell ref="D13:D14"/>
    <mergeCell ref="E13:H13"/>
    <mergeCell ref="B16:B21"/>
    <mergeCell ref="C16:C21"/>
    <mergeCell ref="A22:A25"/>
    <mergeCell ref="B22:B25"/>
    <mergeCell ref="C22:C25"/>
    <mergeCell ref="J1:L1"/>
    <mergeCell ref="A7:L7"/>
    <mergeCell ref="A31:A34"/>
    <mergeCell ref="B31:B34"/>
    <mergeCell ref="C31:C34"/>
    <mergeCell ref="A16:A21"/>
    <mergeCell ref="A8:L8"/>
    <mergeCell ref="A9:L9"/>
    <mergeCell ref="A10:L10"/>
    <mergeCell ref="A26:A30"/>
    <mergeCell ref="B26:B30"/>
    <mergeCell ref="C26:C30"/>
  </mergeCells>
  <pageMargins left="0.78740157480314965" right="0.78740157480314965" top="1.1811023622047245" bottom="0.17" header="0.31496062992125984" footer="0.31496062992125984"/>
  <pageSetup paperSize="9" scale="71" fitToHeight="0" orientation="landscape" r:id="rId1"/>
  <rowBreaks count="2" manualBreakCount="2">
    <brk id="21" max="11" man="1"/>
    <brk id="34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Z75"/>
  <sheetViews>
    <sheetView view="pageBreakPreview" topLeftCell="A10" zoomScale="70" zoomScaleNormal="70" zoomScaleSheetLayoutView="70" workbookViewId="0">
      <selection activeCell="M23" sqref="M23"/>
    </sheetView>
  </sheetViews>
  <sheetFormatPr defaultColWidth="9" defaultRowHeight="18.75" outlineLevelRow="1" outlineLevelCol="1" x14ac:dyDescent="0.3"/>
  <cols>
    <col min="1" max="1" width="5.375" style="192" customWidth="1"/>
    <col min="2" max="2" width="22.25" style="193" customWidth="1"/>
    <col min="3" max="3" width="25" style="193" customWidth="1"/>
    <col min="4" max="4" width="27.5" style="193" customWidth="1"/>
    <col min="5" max="5" width="17.25" style="194" hidden="1" customWidth="1" outlineLevel="1"/>
    <col min="6" max="8" width="14.25" style="194" hidden="1" customWidth="1" outlineLevel="1"/>
    <col min="9" max="10" width="14.625" style="194" hidden="1" customWidth="1" outlineLevel="1"/>
    <col min="11" max="11" width="14.625" style="13" hidden="1" customWidth="1" outlineLevel="1"/>
    <col min="12" max="12" width="15.875" style="194" hidden="1" customWidth="1" outlineLevel="1"/>
    <col min="13" max="13" width="18.5" style="4" customWidth="1" collapsed="1"/>
    <col min="14" max="15" width="15.625" style="4" customWidth="1"/>
    <col min="16" max="16" width="18.125" style="4" bestFit="1" customWidth="1"/>
    <col min="17" max="17" width="10" style="193" hidden="1" customWidth="1" outlineLevel="1"/>
    <col min="18" max="18" width="17.875" style="195" hidden="1" customWidth="1" outlineLevel="1"/>
    <col min="19" max="19" width="10.75" style="193" hidden="1" customWidth="1" outlineLevel="1"/>
    <col min="20" max="20" width="12.5" style="193" bestFit="1" customWidth="1" collapsed="1"/>
    <col min="21" max="21" width="16.875" style="193" customWidth="1"/>
    <col min="22" max="22" width="11.375" style="193" bestFit="1" customWidth="1"/>
    <col min="23" max="25" width="9" style="193"/>
    <col min="26" max="26" width="11.375" style="193" bestFit="1" customWidth="1"/>
    <col min="27" max="16384" width="9" style="193"/>
  </cols>
  <sheetData>
    <row r="1" spans="1:20" ht="78.75" customHeight="1" outlineLevel="1" x14ac:dyDescent="0.3">
      <c r="A1" s="7"/>
      <c r="B1" s="4"/>
      <c r="C1" s="4"/>
      <c r="D1" s="4"/>
      <c r="E1" s="13"/>
      <c r="F1" s="13"/>
      <c r="G1" s="13"/>
      <c r="H1" s="13"/>
      <c r="I1" s="13"/>
      <c r="J1" s="13"/>
      <c r="L1" s="13"/>
      <c r="M1" s="388" t="s">
        <v>365</v>
      </c>
      <c r="N1" s="388"/>
      <c r="O1" s="388"/>
      <c r="P1" s="388"/>
    </row>
    <row r="2" spans="1:20" ht="43.5" customHeight="1" outlineLevel="1" x14ac:dyDescent="0.3">
      <c r="A2" s="7"/>
      <c r="B2" s="4"/>
      <c r="C2" s="4"/>
      <c r="D2" s="4"/>
      <c r="E2" s="13"/>
      <c r="F2" s="13"/>
      <c r="G2" s="13"/>
      <c r="H2" s="13"/>
      <c r="I2" s="13"/>
      <c r="J2" s="13"/>
      <c r="L2" s="13"/>
      <c r="M2" s="303"/>
      <c r="N2" s="303"/>
      <c r="O2" s="303"/>
      <c r="P2" s="303"/>
    </row>
    <row r="3" spans="1:20" x14ac:dyDescent="0.3">
      <c r="A3" s="7"/>
      <c r="B3" s="4"/>
      <c r="C3" s="4"/>
      <c r="D3" s="4"/>
      <c r="E3" s="13"/>
      <c r="F3" s="13"/>
      <c r="G3" s="13"/>
      <c r="H3" s="13"/>
      <c r="I3" s="13"/>
      <c r="J3" s="13"/>
      <c r="L3" s="13"/>
      <c r="M3" s="225" t="s">
        <v>163</v>
      </c>
    </row>
    <row r="4" spans="1:20" ht="51" customHeight="1" x14ac:dyDescent="0.3">
      <c r="A4" s="7"/>
      <c r="B4" s="4"/>
      <c r="C4" s="4"/>
      <c r="D4" s="4"/>
      <c r="E4" s="13"/>
      <c r="F4" s="13"/>
      <c r="G4" s="13"/>
      <c r="H4" s="13"/>
      <c r="I4" s="13"/>
      <c r="J4" s="13"/>
      <c r="L4" s="13"/>
      <c r="M4" s="337" t="str">
        <f>CONCATENATE("к муниципальной программе Туруханского района """,'Приложение 6'!C16,"""")</f>
        <v>к муниципальной программе Туруханского района "Развитие транспортной системы и связи Туруханского района"</v>
      </c>
      <c r="N4" s="337"/>
      <c r="O4" s="337"/>
      <c r="P4" s="337"/>
    </row>
    <row r="5" spans="1:20" x14ac:dyDescent="0.3">
      <c r="A5" s="129"/>
      <c r="B5" s="4"/>
      <c r="C5" s="4"/>
      <c r="D5" s="4"/>
      <c r="E5" s="13"/>
      <c r="F5" s="13"/>
      <c r="G5" s="13"/>
      <c r="H5" s="13"/>
      <c r="I5" s="13"/>
      <c r="J5" s="13"/>
      <c r="L5" s="13"/>
    </row>
    <row r="6" spans="1:20" x14ac:dyDescent="0.3">
      <c r="A6" s="129"/>
      <c r="B6" s="4"/>
      <c r="C6" s="4"/>
      <c r="D6" s="4"/>
      <c r="E6" s="13"/>
      <c r="F6" s="13"/>
      <c r="G6" s="13"/>
      <c r="H6" s="13"/>
      <c r="I6" s="13"/>
      <c r="J6" s="13"/>
      <c r="L6" s="13"/>
    </row>
    <row r="7" spans="1:20" x14ac:dyDescent="0.3">
      <c r="A7" s="339" t="s">
        <v>0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</row>
    <row r="8" spans="1:20" x14ac:dyDescent="0.3">
      <c r="A8" s="339" t="s">
        <v>41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</row>
    <row r="9" spans="1:20" x14ac:dyDescent="0.3">
      <c r="A9" s="339" t="s">
        <v>42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</row>
    <row r="10" spans="1:20" x14ac:dyDescent="0.3">
      <c r="A10" s="339" t="s">
        <v>43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</row>
    <row r="11" spans="1:20" x14ac:dyDescent="0.3">
      <c r="A11" s="339" t="s">
        <v>44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</row>
    <row r="12" spans="1:20" x14ac:dyDescent="0.3">
      <c r="A12" s="339" t="s">
        <v>45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</row>
    <row r="13" spans="1:20" x14ac:dyDescent="0.3">
      <c r="A13" s="145"/>
    </row>
    <row r="14" spans="1:20" ht="14.25" customHeight="1" x14ac:dyDescent="0.3">
      <c r="P14" s="3" t="s">
        <v>208</v>
      </c>
      <c r="Q14" s="4"/>
      <c r="R14" s="35"/>
      <c r="S14" s="4"/>
      <c r="T14" s="4"/>
    </row>
    <row r="15" spans="1:20" ht="27.75" customHeight="1" x14ac:dyDescent="0.3">
      <c r="A15" s="328" t="s">
        <v>19</v>
      </c>
      <c r="B15" s="419" t="s">
        <v>33</v>
      </c>
      <c r="C15" s="419" t="s">
        <v>34</v>
      </c>
      <c r="D15" s="328" t="s">
        <v>38</v>
      </c>
      <c r="E15" s="11">
        <v>2014</v>
      </c>
      <c r="F15" s="11">
        <v>2015</v>
      </c>
      <c r="G15" s="11">
        <v>2016</v>
      </c>
      <c r="H15" s="11">
        <v>2017</v>
      </c>
      <c r="I15" s="11" t="s">
        <v>54</v>
      </c>
      <c r="J15" s="11" t="s">
        <v>55</v>
      </c>
      <c r="K15" s="11" t="s">
        <v>58</v>
      </c>
      <c r="L15" s="11">
        <v>2021</v>
      </c>
      <c r="M15" s="223">
        <v>2022</v>
      </c>
      <c r="N15" s="223">
        <v>2023</v>
      </c>
      <c r="O15" s="223">
        <v>2024</v>
      </c>
      <c r="P15" s="419" t="s">
        <v>24</v>
      </c>
      <c r="Q15" s="4"/>
      <c r="R15" s="35"/>
      <c r="S15" s="4"/>
      <c r="T15" s="4"/>
    </row>
    <row r="16" spans="1:20" x14ac:dyDescent="0.3">
      <c r="A16" s="328"/>
      <c r="B16" s="419"/>
      <c r="C16" s="419"/>
      <c r="D16" s="328"/>
      <c r="E16" s="11"/>
      <c r="F16" s="11"/>
      <c r="G16" s="11"/>
      <c r="H16" s="11"/>
      <c r="I16" s="11"/>
      <c r="J16" s="11" t="s">
        <v>29</v>
      </c>
      <c r="K16" s="11"/>
      <c r="L16" s="11"/>
      <c r="M16" s="223" t="s">
        <v>29</v>
      </c>
      <c r="N16" s="223" t="s">
        <v>29</v>
      </c>
      <c r="O16" s="223" t="s">
        <v>29</v>
      </c>
      <c r="P16" s="419"/>
      <c r="Q16" s="4"/>
      <c r="R16" s="35"/>
      <c r="S16" s="4"/>
      <c r="T16" s="4"/>
    </row>
    <row r="17" spans="1:22" ht="14.25" customHeight="1" x14ac:dyDescent="0.3">
      <c r="A17" s="130">
        <v>1</v>
      </c>
      <c r="B17" s="130">
        <v>2</v>
      </c>
      <c r="C17" s="130">
        <v>3</v>
      </c>
      <c r="D17" s="130">
        <v>4</v>
      </c>
      <c r="E17" s="11"/>
      <c r="F17" s="11"/>
      <c r="G17" s="11"/>
      <c r="H17" s="11"/>
      <c r="I17" s="11">
        <v>5</v>
      </c>
      <c r="J17" s="11">
        <v>6</v>
      </c>
      <c r="K17" s="11"/>
      <c r="L17" s="11"/>
      <c r="M17" s="223">
        <v>6</v>
      </c>
      <c r="N17" s="223">
        <v>7</v>
      </c>
      <c r="O17" s="223">
        <v>7</v>
      </c>
      <c r="P17" s="223">
        <v>8</v>
      </c>
      <c r="Q17" s="4"/>
      <c r="R17" s="35"/>
      <c r="S17" s="4"/>
      <c r="T17" s="4"/>
      <c r="U17" s="193">
        <f>1650830+19900000+27398600+13967500+1084171.92+2238755+15248371+400000+79920</f>
        <v>81968147.920000002</v>
      </c>
    </row>
    <row r="18" spans="1:22" x14ac:dyDescent="0.3">
      <c r="A18" s="416">
        <v>1</v>
      </c>
      <c r="B18" s="422" t="s">
        <v>39</v>
      </c>
      <c r="C18" s="422" t="str">
        <f>'Приложение 6'!C16</f>
        <v>Развитие транспортной системы и связи Туруханского района</v>
      </c>
      <c r="D18" s="209" t="s">
        <v>37</v>
      </c>
      <c r="E18" s="210">
        <f>E25+E32+E39+E46</f>
        <v>165376.84903000001</v>
      </c>
      <c r="F18" s="210">
        <f t="shared" ref="F18" si="0">F25+F32+F39+F46</f>
        <v>132504.82329</v>
      </c>
      <c r="G18" s="210">
        <f>G25+G32+G39+G46</f>
        <v>168993.47096999999</v>
      </c>
      <c r="H18" s="210">
        <f>H25+H32+H39+H46</f>
        <v>155455.69513999997</v>
      </c>
      <c r="I18" s="210">
        <f>I25+I32+I39+I46</f>
        <v>165993.04453999997</v>
      </c>
      <c r="J18" s="210">
        <f t="shared" ref="J18" si="1">J25+J32+J39+J46</f>
        <v>190229.62046000001</v>
      </c>
      <c r="K18" s="210">
        <f>K25+K32+K39+K46</f>
        <v>203327.42477000001</v>
      </c>
      <c r="L18" s="210">
        <f>SUM(L21:L22)</f>
        <v>216293.07074</v>
      </c>
      <c r="M18" s="250">
        <f>M20+M21+M22+M23+M24</f>
        <v>367612.89500000002</v>
      </c>
      <c r="N18" s="250">
        <f>N20+N21+N22+N23+N24</f>
        <v>259573.18099999998</v>
      </c>
      <c r="O18" s="250">
        <f t="shared" ref="O18" si="2">O20+O21+O22+O23+O24</f>
        <v>259573.18099999998</v>
      </c>
      <c r="P18" s="250">
        <f>P20+P21+P22+P23+P24</f>
        <v>886759.2570000001</v>
      </c>
      <c r="Q18" s="196">
        <f>P18-'Приложение 6'!L16</f>
        <v>0</v>
      </c>
      <c r="R18" s="197">
        <f>SUM(E18:O18)</f>
        <v>2284933.2559399996</v>
      </c>
      <c r="S18" s="193" t="b">
        <f>SUM(R20:R24)=R18</f>
        <v>1</v>
      </c>
      <c r="U18" s="198">
        <f>U17/1000</f>
        <v>81968.147920000003</v>
      </c>
    </row>
    <row r="19" spans="1:22" x14ac:dyDescent="0.3">
      <c r="A19" s="416"/>
      <c r="B19" s="422"/>
      <c r="C19" s="422"/>
      <c r="D19" s="131" t="s">
        <v>20</v>
      </c>
      <c r="E19" s="36"/>
      <c r="F19" s="36"/>
      <c r="G19" s="36"/>
      <c r="H19" s="36"/>
      <c r="I19" s="36"/>
      <c r="J19" s="36"/>
      <c r="K19" s="36"/>
      <c r="L19" s="36"/>
      <c r="M19" s="251"/>
      <c r="N19" s="251"/>
      <c r="O19" s="251"/>
      <c r="P19" s="251"/>
      <c r="Q19" s="196"/>
      <c r="R19" s="197"/>
      <c r="U19" s="199"/>
    </row>
    <row r="20" spans="1:22" x14ac:dyDescent="0.3">
      <c r="A20" s="416"/>
      <c r="B20" s="422"/>
      <c r="C20" s="422"/>
      <c r="D20" s="5" t="s">
        <v>99</v>
      </c>
      <c r="E20" s="36">
        <f t="shared" ref="E20:I20" si="3">E27+E34+E41+E48</f>
        <v>0</v>
      </c>
      <c r="F20" s="36">
        <f t="shared" si="3"/>
        <v>0</v>
      </c>
      <c r="G20" s="36">
        <f t="shared" si="3"/>
        <v>0</v>
      </c>
      <c r="H20" s="36">
        <f t="shared" ref="H20" si="4">H27+H34+H41+H48</f>
        <v>0</v>
      </c>
      <c r="I20" s="36">
        <f t="shared" si="3"/>
        <v>0</v>
      </c>
      <c r="J20" s="36">
        <f t="shared" ref="J20:M20" si="5">J27+J34+J41+J48</f>
        <v>0</v>
      </c>
      <c r="K20" s="36">
        <f t="shared" ref="K20" si="6">K27+K34+K41+K48</f>
        <v>0</v>
      </c>
      <c r="L20" s="36">
        <v>0</v>
      </c>
      <c r="M20" s="251">
        <f t="shared" si="5"/>
        <v>0</v>
      </c>
      <c r="N20" s="251">
        <f t="shared" ref="N20:O20" si="7">N27+N34+N41+N48</f>
        <v>0</v>
      </c>
      <c r="O20" s="251">
        <f t="shared" si="7"/>
        <v>0</v>
      </c>
      <c r="P20" s="251">
        <f>SUM(M20:O20)</f>
        <v>0</v>
      </c>
      <c r="Q20" s="196"/>
      <c r="R20" s="197">
        <f t="shared" ref="R20:R24" si="8">SUM(E20:O20)</f>
        <v>0</v>
      </c>
      <c r="T20" s="196">
        <f>E20+F20+G20+H20+I20+J20+K20+L20+M20+N20+O20+P20</f>
        <v>0</v>
      </c>
    </row>
    <row r="21" spans="1:22" x14ac:dyDescent="0.3">
      <c r="A21" s="416"/>
      <c r="B21" s="422"/>
      <c r="C21" s="422"/>
      <c r="D21" s="131" t="s">
        <v>100</v>
      </c>
      <c r="E21" s="36">
        <f>E28+E35+E42+E49</f>
        <v>33226.424510000004</v>
      </c>
      <c r="F21" s="36">
        <f t="shared" ref="F21:G21" si="9">F28+F35+F42+F49</f>
        <v>33544.400000000001</v>
      </c>
      <c r="G21" s="36">
        <f t="shared" si="9"/>
        <v>55791.640999999996</v>
      </c>
      <c r="H21" s="36">
        <f t="shared" ref="H21" si="10">H28+H35+H42+H49</f>
        <v>50192.994449999998</v>
      </c>
      <c r="I21" s="36">
        <f>I28+I35+I42+I49</f>
        <v>43661.469730000004</v>
      </c>
      <c r="J21" s="36">
        <f>J28+J35+J42+J49</f>
        <v>52152.521000000001</v>
      </c>
      <c r="K21" s="36">
        <f>K28+K35+K42+K49</f>
        <v>43883.485489999999</v>
      </c>
      <c r="L21" s="36">
        <f>L28+L35+L42+L49</f>
        <v>63787.420229999996</v>
      </c>
      <c r="M21" s="251">
        <f>M28+M35+M42+M49</f>
        <v>3.4697200000000001</v>
      </c>
      <c r="N21" s="251">
        <f t="shared" ref="N21:O21" si="11">N28+N35+N42+N49</f>
        <v>0</v>
      </c>
      <c r="O21" s="251">
        <f t="shared" si="11"/>
        <v>0</v>
      </c>
      <c r="P21" s="251">
        <f>SUM(M21:O21)</f>
        <v>3.4697200000000001</v>
      </c>
      <c r="Q21" s="196"/>
      <c r="R21" s="197">
        <f t="shared" si="8"/>
        <v>376243.82613</v>
      </c>
    </row>
    <row r="22" spans="1:22" x14ac:dyDescent="0.3">
      <c r="A22" s="416"/>
      <c r="B22" s="422"/>
      <c r="C22" s="422"/>
      <c r="D22" s="131" t="s">
        <v>40</v>
      </c>
      <c r="E22" s="36">
        <f>E29+E36+E43+E50</f>
        <v>132150.42452</v>
      </c>
      <c r="F22" s="36">
        <f t="shared" ref="F22:G22" si="12">F29+F36+F43+F50</f>
        <v>98960.423290000006</v>
      </c>
      <c r="G22" s="36">
        <f t="shared" si="12"/>
        <v>113001.82996999999</v>
      </c>
      <c r="H22" s="36">
        <f t="shared" ref="H22" si="13">H29+H36+H43+H50</f>
        <v>105262.70068999998</v>
      </c>
      <c r="I22" s="36">
        <f>I29+I36+I43+I50</f>
        <v>122331.57480999999</v>
      </c>
      <c r="J22" s="36">
        <f t="shared" ref="J22:K22" si="14">J29+J36+J43+J50</f>
        <v>138077.09946</v>
      </c>
      <c r="K22" s="36">
        <f t="shared" si="14"/>
        <v>159443.93927999999</v>
      </c>
      <c r="L22" s="36">
        <f>L29+L36+L43+L50</f>
        <v>152505.65051000001</v>
      </c>
      <c r="M22" s="251">
        <f>M29+M36+M43+M50</f>
        <v>367609.42528000002</v>
      </c>
      <c r="N22" s="251">
        <f t="shared" ref="N22:O22" si="15">N29+N36+N43+N50</f>
        <v>259573.18099999998</v>
      </c>
      <c r="O22" s="251">
        <f t="shared" si="15"/>
        <v>259573.18099999998</v>
      </c>
      <c r="P22" s="251">
        <f>P29+P36+P43+P50</f>
        <v>886755.78728000005</v>
      </c>
      <c r="Q22" s="196"/>
      <c r="R22" s="197">
        <f t="shared" si="8"/>
        <v>1908489.4298100001</v>
      </c>
    </row>
    <row r="23" spans="1:22" ht="48" x14ac:dyDescent="0.3">
      <c r="A23" s="416"/>
      <c r="B23" s="422"/>
      <c r="C23" s="422"/>
      <c r="D23" s="6" t="s">
        <v>101</v>
      </c>
      <c r="E23" s="36">
        <f t="shared" ref="E23:G23" si="16">E30+E37+E44+E51</f>
        <v>0</v>
      </c>
      <c r="F23" s="36">
        <f t="shared" si="16"/>
        <v>0</v>
      </c>
      <c r="G23" s="36">
        <f t="shared" si="16"/>
        <v>0</v>
      </c>
      <c r="H23" s="36">
        <f t="shared" ref="H23" si="17">H30+H37+H44+H51</f>
        <v>0</v>
      </c>
      <c r="I23" s="36">
        <f t="shared" ref="I23:M23" si="18">I30+I37+I44+I51</f>
        <v>0</v>
      </c>
      <c r="J23" s="36">
        <f t="shared" ref="J23:K23" si="19">J30+J37+J44+J51</f>
        <v>0</v>
      </c>
      <c r="K23" s="36">
        <f t="shared" si="19"/>
        <v>0</v>
      </c>
      <c r="L23" s="36">
        <v>0</v>
      </c>
      <c r="M23" s="251">
        <f t="shared" si="18"/>
        <v>0</v>
      </c>
      <c r="N23" s="251">
        <f t="shared" ref="N23:O23" si="20">N30+N37+N44+N51</f>
        <v>0</v>
      </c>
      <c r="O23" s="251">
        <f t="shared" si="20"/>
        <v>0</v>
      </c>
      <c r="P23" s="251">
        <f>SUM(M23:O23)</f>
        <v>0</v>
      </c>
      <c r="Q23" s="196"/>
      <c r="R23" s="197">
        <f t="shared" si="8"/>
        <v>0</v>
      </c>
    </row>
    <row r="24" spans="1:22" ht="19.5" thickBot="1" x14ac:dyDescent="0.35">
      <c r="A24" s="416"/>
      <c r="B24" s="422"/>
      <c r="C24" s="422"/>
      <c r="D24" s="131" t="s">
        <v>21</v>
      </c>
      <c r="E24" s="36">
        <f t="shared" ref="E24:G24" si="21">E31+E38+E45+E52</f>
        <v>0</v>
      </c>
      <c r="F24" s="36">
        <f t="shared" si="21"/>
        <v>0</v>
      </c>
      <c r="G24" s="36">
        <f t="shared" si="21"/>
        <v>200</v>
      </c>
      <c r="H24" s="36">
        <f t="shared" ref="H24" si="22">H31+H38+H45+H52</f>
        <v>0</v>
      </c>
      <c r="I24" s="36">
        <f t="shared" ref="I24:M24" si="23">I31+I38+I45+I52</f>
        <v>0</v>
      </c>
      <c r="J24" s="36">
        <f t="shared" ref="J24:K24" si="24">J31+J38+J45+J52</f>
        <v>0</v>
      </c>
      <c r="K24" s="36">
        <f t="shared" si="24"/>
        <v>0</v>
      </c>
      <c r="L24" s="36">
        <v>0</v>
      </c>
      <c r="M24" s="251">
        <f t="shared" si="23"/>
        <v>0</v>
      </c>
      <c r="N24" s="251">
        <f t="shared" ref="N24:O24" si="25">N31+N38+N45+N52</f>
        <v>0</v>
      </c>
      <c r="O24" s="251">
        <f t="shared" si="25"/>
        <v>0</v>
      </c>
      <c r="P24" s="251">
        <f>SUM(M24:O24)</f>
        <v>0</v>
      </c>
      <c r="Q24" s="196"/>
      <c r="R24" s="197">
        <f t="shared" si="8"/>
        <v>200</v>
      </c>
    </row>
    <row r="25" spans="1:22" s="202" customFormat="1" x14ac:dyDescent="0.3">
      <c r="A25" s="416" t="s">
        <v>3</v>
      </c>
      <c r="B25" s="422" t="s">
        <v>15</v>
      </c>
      <c r="C25" s="422" t="str">
        <f>'Приложение 6'!C22</f>
        <v>Развитие транспортного комплекса, обеспечение сохранности и модернизации автомобильных дорог Туруханского района</v>
      </c>
      <c r="D25" s="209" t="s">
        <v>37</v>
      </c>
      <c r="E25" s="210">
        <f>SUM(E27:E31)</f>
        <v>38654.857510000002</v>
      </c>
      <c r="F25" s="210">
        <f t="shared" ref="F25:H25" si="26">SUM(F27:F31)</f>
        <v>38642.90999</v>
      </c>
      <c r="G25" s="210">
        <f t="shared" si="26"/>
        <v>64679.243999999999</v>
      </c>
      <c r="H25" s="210">
        <f t="shared" si="26"/>
        <v>51991.447849999997</v>
      </c>
      <c r="I25" s="210">
        <f>SUM(I27:I31)</f>
        <v>46554.788160000011</v>
      </c>
      <c r="J25" s="210">
        <f t="shared" ref="J25:K25" si="27">SUM(J27:J31)</f>
        <v>59160.668460000001</v>
      </c>
      <c r="K25" s="210">
        <f t="shared" si="27"/>
        <v>61245.158410000004</v>
      </c>
      <c r="L25" s="210">
        <f>SUM(L28:L29)</f>
        <v>84378.761629999994</v>
      </c>
      <c r="M25" s="250">
        <f>SUM(M27:M31)</f>
        <v>127137.735</v>
      </c>
      <c r="N25" s="250">
        <f t="shared" ref="N25:O25" si="28">SUM(N27:N31)</f>
        <v>70273.884999999995</v>
      </c>
      <c r="O25" s="250">
        <f t="shared" si="28"/>
        <v>70273.884999999995</v>
      </c>
      <c r="P25" s="250">
        <f>SUM(M25:O25)</f>
        <v>267685.505</v>
      </c>
      <c r="Q25" s="200">
        <f>P25-'Приложение 6'!L22</f>
        <v>0</v>
      </c>
      <c r="R25" s="201">
        <f>SUM(E25:O25)</f>
        <v>712993.34100999997</v>
      </c>
      <c r="S25" s="202" t="b">
        <f>SUM(R27:R31)=R25</f>
        <v>1</v>
      </c>
    </row>
    <row r="26" spans="1:22" s="204" customFormat="1" x14ac:dyDescent="0.3">
      <c r="A26" s="416"/>
      <c r="B26" s="422"/>
      <c r="C26" s="422"/>
      <c r="D26" s="131" t="s">
        <v>20</v>
      </c>
      <c r="E26" s="36"/>
      <c r="F26" s="36"/>
      <c r="G26" s="36"/>
      <c r="H26" s="36"/>
      <c r="I26" s="36"/>
      <c r="J26" s="36"/>
      <c r="K26" s="36"/>
      <c r="L26" s="36"/>
      <c r="M26" s="251"/>
      <c r="N26" s="251"/>
      <c r="O26" s="251"/>
      <c r="P26" s="251"/>
      <c r="Q26" s="116"/>
      <c r="R26" s="203">
        <f t="shared" ref="R26:R52" si="29">SUM(E26:O26)</f>
        <v>0</v>
      </c>
    </row>
    <row r="27" spans="1:22" s="204" customFormat="1" x14ac:dyDescent="0.3">
      <c r="A27" s="416"/>
      <c r="B27" s="422"/>
      <c r="C27" s="422"/>
      <c r="D27" s="5" t="s">
        <v>99</v>
      </c>
      <c r="E27" s="36"/>
      <c r="F27" s="36"/>
      <c r="G27" s="36"/>
      <c r="H27" s="36"/>
      <c r="I27" s="36"/>
      <c r="J27" s="36"/>
      <c r="K27" s="36"/>
      <c r="L27" s="36"/>
      <c r="M27" s="251"/>
      <c r="N27" s="251"/>
      <c r="O27" s="251"/>
      <c r="P27" s="251">
        <f t="shared" ref="P27:P31" si="30">SUM(M27:O27)</f>
        <v>0</v>
      </c>
      <c r="Q27" s="116"/>
      <c r="R27" s="203">
        <f t="shared" si="29"/>
        <v>0</v>
      </c>
    </row>
    <row r="28" spans="1:22" s="204" customFormat="1" x14ac:dyDescent="0.3">
      <c r="A28" s="416"/>
      <c r="B28" s="422"/>
      <c r="C28" s="422"/>
      <c r="D28" s="131" t="s">
        <v>100</v>
      </c>
      <c r="E28" s="36">
        <v>33203.024510000003</v>
      </c>
      <c r="F28" s="36">
        <v>33544.400000000001</v>
      </c>
      <c r="G28" s="36">
        <v>55649.004999999997</v>
      </c>
      <c r="H28" s="36">
        <v>47780.994449999998</v>
      </c>
      <c r="I28" s="36">
        <v>40519.269730000007</v>
      </c>
      <c r="J28" s="36">
        <f>49498.086-220.5</f>
        <v>49277.586000000003</v>
      </c>
      <c r="K28" s="36">
        <f>40623031.49/1000</f>
        <v>40623.031490000001</v>
      </c>
      <c r="L28" s="36">
        <v>62537.988089999999</v>
      </c>
      <c r="M28" s="251"/>
      <c r="N28" s="251"/>
      <c r="O28" s="251"/>
      <c r="P28" s="251">
        <f t="shared" si="30"/>
        <v>0</v>
      </c>
      <c r="Q28" s="116"/>
      <c r="R28" s="203">
        <f>SUM(E28:O28)</f>
        <v>363135.29927000002</v>
      </c>
      <c r="T28" s="116"/>
    </row>
    <row r="29" spans="1:22" s="204" customFormat="1" x14ac:dyDescent="0.3">
      <c r="A29" s="416"/>
      <c r="B29" s="422"/>
      <c r="C29" s="422"/>
      <c r="D29" s="131" t="s">
        <v>40</v>
      </c>
      <c r="E29" s="36">
        <v>5451.8330000000005</v>
      </c>
      <c r="F29" s="36">
        <v>5098.5099900000005</v>
      </c>
      <c r="G29" s="36">
        <v>8830.2389999999996</v>
      </c>
      <c r="H29" s="36">
        <v>4210.4534000000003</v>
      </c>
      <c r="I29" s="36">
        <v>6035.5184300000001</v>
      </c>
      <c r="J29" s="36">
        <f>4174.297+5708.78546</f>
        <v>9883.0824599999996</v>
      </c>
      <c r="K29" s="36">
        <f>20622126.92/1000</f>
        <v>20622.126920000002</v>
      </c>
      <c r="L29" s="36">
        <v>21840.773539999998</v>
      </c>
      <c r="M29" s="251">
        <f>'пр к ПП1'!H35</f>
        <v>127137.735</v>
      </c>
      <c r="N29" s="251">
        <f>'пр к ПП1'!I35</f>
        <v>70273.884999999995</v>
      </c>
      <c r="O29" s="251">
        <f>'пр к ПП1'!J35</f>
        <v>70273.884999999995</v>
      </c>
      <c r="P29" s="251">
        <f t="shared" si="30"/>
        <v>267685.505</v>
      </c>
      <c r="Q29" s="116"/>
      <c r="R29" s="203">
        <f t="shared" si="29"/>
        <v>349658.04174000002</v>
      </c>
      <c r="V29" s="116"/>
    </row>
    <row r="30" spans="1:22" s="204" customFormat="1" ht="48" x14ac:dyDescent="0.3">
      <c r="A30" s="416"/>
      <c r="B30" s="422"/>
      <c r="C30" s="422"/>
      <c r="D30" s="6" t="s">
        <v>101</v>
      </c>
      <c r="E30" s="37"/>
      <c r="F30" s="37">
        <v>0</v>
      </c>
      <c r="G30" s="37"/>
      <c r="H30" s="37"/>
      <c r="I30" s="36"/>
      <c r="J30" s="36"/>
      <c r="K30" s="36"/>
      <c r="L30" s="36"/>
      <c r="M30" s="251"/>
      <c r="N30" s="251"/>
      <c r="O30" s="251"/>
      <c r="P30" s="251">
        <f t="shared" si="30"/>
        <v>0</v>
      </c>
      <c r="Q30" s="116"/>
      <c r="R30" s="203">
        <f t="shared" si="29"/>
        <v>0</v>
      </c>
    </row>
    <row r="31" spans="1:22" s="207" customFormat="1" ht="19.5" thickBot="1" x14ac:dyDescent="0.35">
      <c r="A31" s="416"/>
      <c r="B31" s="422"/>
      <c r="C31" s="422"/>
      <c r="D31" s="131" t="s">
        <v>21</v>
      </c>
      <c r="E31" s="36"/>
      <c r="F31" s="36"/>
      <c r="G31" s="36">
        <v>200</v>
      </c>
      <c r="H31" s="36"/>
      <c r="I31" s="36"/>
      <c r="J31" s="36"/>
      <c r="K31" s="36"/>
      <c r="L31" s="36"/>
      <c r="M31" s="251"/>
      <c r="N31" s="251"/>
      <c r="O31" s="251"/>
      <c r="P31" s="251">
        <f t="shared" si="30"/>
        <v>0</v>
      </c>
      <c r="Q31" s="205"/>
      <c r="R31" s="206">
        <f t="shared" si="29"/>
        <v>200</v>
      </c>
    </row>
    <row r="32" spans="1:22" s="202" customFormat="1" x14ac:dyDescent="0.3">
      <c r="A32" s="416" t="s">
        <v>83</v>
      </c>
      <c r="B32" s="422" t="s">
        <v>90</v>
      </c>
      <c r="C32" s="422" t="str">
        <f>'Приложение 6'!C26</f>
        <v>Организация транспортного обслуживания  на территории Туруханского района</v>
      </c>
      <c r="D32" s="209" t="s">
        <v>37</v>
      </c>
      <c r="E32" s="210">
        <f t="shared" ref="E32:H32" si="31">SUM(E34:E38)</f>
        <v>119174.72440000001</v>
      </c>
      <c r="F32" s="210">
        <f t="shared" si="31"/>
        <v>81921.9133</v>
      </c>
      <c r="G32" s="210">
        <f t="shared" si="31"/>
        <v>94460.706969999999</v>
      </c>
      <c r="H32" s="210">
        <f t="shared" si="31"/>
        <v>91047.031289999984</v>
      </c>
      <c r="I32" s="210">
        <f>SUM(I34:I38)</f>
        <v>106290.91970999999</v>
      </c>
      <c r="J32" s="210">
        <f>SUM(J34:J38)</f>
        <v>118180.678</v>
      </c>
      <c r="K32" s="210">
        <f>SUM(K34:K38)</f>
        <v>128821.81236</v>
      </c>
      <c r="L32" s="210">
        <f>SUM(L36)</f>
        <v>116262.37311</v>
      </c>
      <c r="M32" s="250">
        <f>SUM(M34:M38)</f>
        <v>228140.296</v>
      </c>
      <c r="N32" s="250">
        <f t="shared" ref="N32:O32" si="32">SUM(N34:N38)</f>
        <v>178699.296</v>
      </c>
      <c r="O32" s="250">
        <f t="shared" si="32"/>
        <v>178699.296</v>
      </c>
      <c r="P32" s="250">
        <f>'пр к ПП2'!K16+'пр к ПП2'!K18+'пр к ПП2'!K23+'пр к ПП2'!K25+'пр к ПП2'!K28+'пр к ПП2'!K31+'пр к ПП2'!K34+'пр к ПП2'!K37+'пр к ПП2'!K43+'пр к ПП2'!K40</f>
        <v>585538.88799999992</v>
      </c>
      <c r="Q32" s="200">
        <f>P32-'Приложение 6'!L26</f>
        <v>0</v>
      </c>
      <c r="R32" s="201">
        <f>SUM(E32:O32)</f>
        <v>1441699.0471400002</v>
      </c>
      <c r="S32" s="202" t="b">
        <f>SUM(R34:R38)=R32</f>
        <v>1</v>
      </c>
    </row>
    <row r="33" spans="1:22" s="204" customFormat="1" x14ac:dyDescent="0.3">
      <c r="A33" s="416"/>
      <c r="B33" s="422"/>
      <c r="C33" s="422"/>
      <c r="D33" s="131" t="s">
        <v>20</v>
      </c>
      <c r="E33" s="36"/>
      <c r="F33" s="36"/>
      <c r="G33" s="36"/>
      <c r="H33" s="36"/>
      <c r="I33" s="36"/>
      <c r="J33" s="36"/>
      <c r="K33" s="36"/>
      <c r="L33" s="36"/>
      <c r="M33" s="251"/>
      <c r="N33" s="251"/>
      <c r="O33" s="251"/>
      <c r="P33" s="251"/>
      <c r="Q33" s="116"/>
      <c r="R33" s="203">
        <f>SUM(E33:O33)</f>
        <v>0</v>
      </c>
    </row>
    <row r="34" spans="1:22" s="204" customFormat="1" x14ac:dyDescent="0.3">
      <c r="A34" s="416"/>
      <c r="B34" s="422"/>
      <c r="C34" s="422"/>
      <c r="D34" s="5" t="s">
        <v>99</v>
      </c>
      <c r="E34" s="36"/>
      <c r="F34" s="36"/>
      <c r="G34" s="36"/>
      <c r="H34" s="36"/>
      <c r="I34" s="36"/>
      <c r="J34" s="36"/>
      <c r="K34" s="36"/>
      <c r="L34" s="36"/>
      <c r="M34" s="251"/>
      <c r="N34" s="251"/>
      <c r="O34" s="251"/>
      <c r="P34" s="251">
        <f t="shared" ref="P34:P39" si="33">SUM(M34:O34)</f>
        <v>0</v>
      </c>
      <c r="Q34" s="116"/>
      <c r="R34" s="203">
        <f t="shared" si="29"/>
        <v>0</v>
      </c>
      <c r="T34" s="204">
        <f>102577093+26642837+810700+320000+10048500+2475000</f>
        <v>142874130</v>
      </c>
      <c r="U34" s="116">
        <f>T34/1000</f>
        <v>142874.13</v>
      </c>
      <c r="V34" s="116">
        <f>U34-K36</f>
        <v>14052.317640000008</v>
      </c>
    </row>
    <row r="35" spans="1:22" s="204" customFormat="1" x14ac:dyDescent="0.3">
      <c r="A35" s="416"/>
      <c r="B35" s="422"/>
      <c r="C35" s="422"/>
      <c r="D35" s="131" t="s">
        <v>100</v>
      </c>
      <c r="E35" s="36"/>
      <c r="F35" s="36"/>
      <c r="G35" s="36"/>
      <c r="H35" s="36"/>
      <c r="I35" s="36"/>
      <c r="J35" s="36"/>
      <c r="K35" s="36"/>
      <c r="L35" s="36"/>
      <c r="M35" s="251"/>
      <c r="N35" s="251"/>
      <c r="O35" s="251"/>
      <c r="P35" s="251">
        <f t="shared" si="33"/>
        <v>0</v>
      </c>
      <c r="Q35" s="116"/>
      <c r="R35" s="203">
        <f t="shared" si="29"/>
        <v>0</v>
      </c>
    </row>
    <row r="36" spans="1:22" s="204" customFormat="1" x14ac:dyDescent="0.3">
      <c r="A36" s="416"/>
      <c r="B36" s="422"/>
      <c r="C36" s="422"/>
      <c r="D36" s="131" t="s">
        <v>40</v>
      </c>
      <c r="E36" s="36">
        <v>119174.72440000001</v>
      </c>
      <c r="F36" s="36">
        <v>81921.9133</v>
      </c>
      <c r="G36" s="36">
        <v>94460.706969999999</v>
      </c>
      <c r="H36" s="36">
        <v>91047.031289999984</v>
      </c>
      <c r="I36" s="36">
        <v>106290.91970999999</v>
      </c>
      <c r="J36" s="36">
        <v>118180.678</v>
      </c>
      <c r="K36" s="36">
        <v>128821.81236</v>
      </c>
      <c r="L36" s="36">
        <v>116262.37311</v>
      </c>
      <c r="M36" s="251">
        <f>'пр к ПП2'!H15+'пр к ПП2'!H17+'пр к ПП2'!H27+'пр к ПП2'!H30+'пр к ПП2'!H33+'пр к ПП2'!H36+'пр к ПП2'!H39+'пр к ПП2'!H43</f>
        <v>228140.296</v>
      </c>
      <c r="N36" s="251">
        <f>'пр к ПП2'!I15+'пр к ПП2'!I17+'пр к ПП2'!I27+'пр к ПП2'!I30+'пр к ПП2'!I33+'пр к ПП2'!I36+'пр к ПП2'!I39</f>
        <v>178699.296</v>
      </c>
      <c r="O36" s="251">
        <f>'пр к ПП2'!J15+'пр к ПП2'!J17+'пр к ПП2'!J27+'пр к ПП2'!J30+'пр к ПП2'!J33+'пр к ПП2'!J36+'пр к ПП2'!J39</f>
        <v>178699.296</v>
      </c>
      <c r="P36" s="251">
        <f>SUM(M36:O36)</f>
        <v>585538.88800000004</v>
      </c>
      <c r="Q36" s="116"/>
      <c r="R36" s="203">
        <f>SUM(E36:O36)</f>
        <v>1441699.0471400002</v>
      </c>
    </row>
    <row r="37" spans="1:22" s="204" customFormat="1" ht="48" x14ac:dyDescent="0.3">
      <c r="A37" s="416"/>
      <c r="B37" s="422"/>
      <c r="C37" s="422"/>
      <c r="D37" s="6" t="s">
        <v>101</v>
      </c>
      <c r="E37" s="37"/>
      <c r="F37" s="37"/>
      <c r="G37" s="37"/>
      <c r="H37" s="37"/>
      <c r="I37" s="36"/>
      <c r="J37" s="36"/>
      <c r="K37" s="36"/>
      <c r="L37" s="36"/>
      <c r="M37" s="251"/>
      <c r="N37" s="251"/>
      <c r="O37" s="251"/>
      <c r="P37" s="251">
        <f t="shared" si="33"/>
        <v>0</v>
      </c>
      <c r="Q37" s="116"/>
      <c r="R37" s="203">
        <f t="shared" si="29"/>
        <v>0</v>
      </c>
    </row>
    <row r="38" spans="1:22" s="207" customFormat="1" ht="19.5" thickBot="1" x14ac:dyDescent="0.35">
      <c r="A38" s="416"/>
      <c r="B38" s="422"/>
      <c r="C38" s="422"/>
      <c r="D38" s="131" t="s">
        <v>21</v>
      </c>
      <c r="E38" s="36"/>
      <c r="F38" s="36"/>
      <c r="G38" s="36"/>
      <c r="H38" s="36"/>
      <c r="I38" s="36"/>
      <c r="J38" s="36"/>
      <c r="K38" s="36"/>
      <c r="L38" s="36"/>
      <c r="M38" s="251"/>
      <c r="N38" s="251"/>
      <c r="O38" s="251"/>
      <c r="P38" s="251">
        <f t="shared" si="33"/>
        <v>0</v>
      </c>
      <c r="Q38" s="205"/>
      <c r="R38" s="206">
        <f t="shared" si="29"/>
        <v>0</v>
      </c>
    </row>
    <row r="39" spans="1:22" s="202" customFormat="1" x14ac:dyDescent="0.3">
      <c r="A39" s="416" t="s">
        <v>85</v>
      </c>
      <c r="B39" s="422" t="s">
        <v>91</v>
      </c>
      <c r="C39" s="422" t="str">
        <f>'Приложение 6'!C31</f>
        <v>Безопасность дорожного движения в Туруханском районе</v>
      </c>
      <c r="D39" s="209" t="s">
        <v>37</v>
      </c>
      <c r="E39" s="210">
        <f t="shared" ref="E39:H39" si="34">SUM(E41:E45)</f>
        <v>23.4</v>
      </c>
      <c r="F39" s="210">
        <f t="shared" si="34"/>
        <v>0</v>
      </c>
      <c r="G39" s="210">
        <f t="shared" si="34"/>
        <v>463.12</v>
      </c>
      <c r="H39" s="210">
        <f t="shared" si="34"/>
        <v>152.5</v>
      </c>
      <c r="I39" s="210">
        <f>SUM(I41:I45)</f>
        <v>80</v>
      </c>
      <c r="J39" s="210">
        <f t="shared" ref="J39:M39" si="35">SUM(J41:J45)</f>
        <v>220.5</v>
      </c>
      <c r="K39" s="210">
        <f t="shared" si="35"/>
        <v>744</v>
      </c>
      <c r="L39" s="210">
        <f>SUM(L42:L43)</f>
        <v>0</v>
      </c>
      <c r="M39" s="250">
        <f t="shared" si="35"/>
        <v>0</v>
      </c>
      <c r="N39" s="250">
        <f t="shared" ref="N39:O39" si="36">SUM(N41:N45)</f>
        <v>0</v>
      </c>
      <c r="O39" s="250">
        <f t="shared" si="36"/>
        <v>0</v>
      </c>
      <c r="P39" s="250">
        <f t="shared" si="33"/>
        <v>0</v>
      </c>
      <c r="Q39" s="208">
        <f>P39-'Приложение 6'!L31</f>
        <v>0</v>
      </c>
      <c r="R39" s="201">
        <f>SUM(E39:O39)</f>
        <v>1683.52</v>
      </c>
      <c r="S39" s="202" t="b">
        <f>SUM(R41:R45)=R39</f>
        <v>1</v>
      </c>
    </row>
    <row r="40" spans="1:22" s="204" customFormat="1" x14ac:dyDescent="0.3">
      <c r="A40" s="416"/>
      <c r="B40" s="422"/>
      <c r="C40" s="422"/>
      <c r="D40" s="131" t="s">
        <v>20</v>
      </c>
      <c r="E40" s="36"/>
      <c r="F40" s="36"/>
      <c r="G40" s="36"/>
      <c r="H40" s="36"/>
      <c r="I40" s="36"/>
      <c r="J40" s="36"/>
      <c r="K40" s="36"/>
      <c r="L40" s="36"/>
      <c r="M40" s="251"/>
      <c r="N40" s="251"/>
      <c r="O40" s="251"/>
      <c r="P40" s="251"/>
      <c r="Q40" s="116"/>
      <c r="R40" s="203">
        <f t="shared" si="29"/>
        <v>0</v>
      </c>
    </row>
    <row r="41" spans="1:22" s="204" customFormat="1" x14ac:dyDescent="0.3">
      <c r="A41" s="416"/>
      <c r="B41" s="422"/>
      <c r="C41" s="422"/>
      <c r="D41" s="5" t="s">
        <v>99</v>
      </c>
      <c r="E41" s="36"/>
      <c r="F41" s="36"/>
      <c r="G41" s="36"/>
      <c r="H41" s="36"/>
      <c r="I41" s="36"/>
      <c r="J41" s="36"/>
      <c r="K41" s="36"/>
      <c r="L41" s="36"/>
      <c r="M41" s="251"/>
      <c r="N41" s="251"/>
      <c r="O41" s="251"/>
      <c r="P41" s="251">
        <f t="shared" ref="P41:P46" si="37">SUM(M41:O41)</f>
        <v>0</v>
      </c>
      <c r="Q41" s="116"/>
      <c r="R41" s="203">
        <f t="shared" si="29"/>
        <v>0</v>
      </c>
    </row>
    <row r="42" spans="1:22" s="204" customFormat="1" x14ac:dyDescent="0.3">
      <c r="A42" s="416"/>
      <c r="B42" s="422"/>
      <c r="C42" s="422"/>
      <c r="D42" s="131" t="s">
        <v>100</v>
      </c>
      <c r="E42" s="36">
        <v>23.4</v>
      </c>
      <c r="F42" s="36">
        <v>0</v>
      </c>
      <c r="G42" s="36">
        <v>142.636</v>
      </c>
      <c r="H42" s="36">
        <v>152</v>
      </c>
      <c r="I42" s="36">
        <v>80</v>
      </c>
      <c r="J42" s="36">
        <v>220.5</v>
      </c>
      <c r="K42" s="36">
        <v>744</v>
      </c>
      <c r="L42" s="36">
        <v>0</v>
      </c>
      <c r="M42" s="252">
        <f>'пр к ПП3'!H18+'пр к ПП3'!H22</f>
        <v>0</v>
      </c>
      <c r="N42" s="252">
        <f>'пр к ПП3'!I18+'пр к ПП3'!I22</f>
        <v>0</v>
      </c>
      <c r="O42" s="252">
        <f>'пр к ПП3'!J18+'пр к ПП3'!J22</f>
        <v>0</v>
      </c>
      <c r="P42" s="252">
        <f t="shared" si="37"/>
        <v>0</v>
      </c>
      <c r="Q42" s="116"/>
      <c r="R42" s="203">
        <f>SUM(E42:O42)</f>
        <v>1362.5360000000001</v>
      </c>
    </row>
    <row r="43" spans="1:22" s="204" customFormat="1" x14ac:dyDescent="0.3">
      <c r="A43" s="416"/>
      <c r="B43" s="422"/>
      <c r="C43" s="422"/>
      <c r="D43" s="131" t="s">
        <v>40</v>
      </c>
      <c r="E43" s="36">
        <v>0</v>
      </c>
      <c r="F43" s="36">
        <v>0</v>
      </c>
      <c r="G43" s="36">
        <v>320.48399999999998</v>
      </c>
      <c r="H43" s="36">
        <v>0.5</v>
      </c>
      <c r="I43" s="36">
        <v>0</v>
      </c>
      <c r="J43" s="36">
        <f>'пр к ПП3'!G16</f>
        <v>0</v>
      </c>
      <c r="K43" s="36">
        <v>0</v>
      </c>
      <c r="L43" s="36">
        <v>0</v>
      </c>
      <c r="M43" s="251">
        <f>'пр к ПП3'!H16</f>
        <v>0</v>
      </c>
      <c r="N43" s="251">
        <f>'пр к ПП3'!I16</f>
        <v>0</v>
      </c>
      <c r="O43" s="251">
        <f>'пр к ПП3'!J16</f>
        <v>0</v>
      </c>
      <c r="P43" s="251">
        <f t="shared" si="37"/>
        <v>0</v>
      </c>
      <c r="Q43" s="116"/>
      <c r="R43" s="203">
        <f>SUM(E43:O43)</f>
        <v>320.98399999999998</v>
      </c>
    </row>
    <row r="44" spans="1:22" s="204" customFormat="1" ht="48" x14ac:dyDescent="0.3">
      <c r="A44" s="416"/>
      <c r="B44" s="422"/>
      <c r="C44" s="422"/>
      <c r="D44" s="6" t="s">
        <v>101</v>
      </c>
      <c r="E44" s="37"/>
      <c r="F44" s="37"/>
      <c r="G44" s="37"/>
      <c r="H44" s="37"/>
      <c r="I44" s="36"/>
      <c r="J44" s="36"/>
      <c r="K44" s="36"/>
      <c r="L44" s="36"/>
      <c r="M44" s="251"/>
      <c r="N44" s="251"/>
      <c r="O44" s="251"/>
      <c r="P44" s="251">
        <f t="shared" si="37"/>
        <v>0</v>
      </c>
      <c r="Q44" s="116"/>
      <c r="R44" s="203">
        <f t="shared" si="29"/>
        <v>0</v>
      </c>
    </row>
    <row r="45" spans="1:22" s="207" customFormat="1" ht="19.5" thickBot="1" x14ac:dyDescent="0.35">
      <c r="A45" s="416"/>
      <c r="B45" s="422"/>
      <c r="C45" s="422"/>
      <c r="D45" s="131" t="s">
        <v>21</v>
      </c>
      <c r="E45" s="36"/>
      <c r="F45" s="36"/>
      <c r="G45" s="36"/>
      <c r="H45" s="36"/>
      <c r="I45" s="36"/>
      <c r="J45" s="36"/>
      <c r="K45" s="36"/>
      <c r="L45" s="36"/>
      <c r="M45" s="251"/>
      <c r="N45" s="251"/>
      <c r="O45" s="251"/>
      <c r="P45" s="251">
        <f t="shared" si="37"/>
        <v>0</v>
      </c>
      <c r="Q45" s="205"/>
      <c r="R45" s="206">
        <f t="shared" si="29"/>
        <v>0</v>
      </c>
    </row>
    <row r="46" spans="1:22" s="202" customFormat="1" x14ac:dyDescent="0.3">
      <c r="A46" s="416" t="s">
        <v>86</v>
      </c>
      <c r="B46" s="422" t="s">
        <v>92</v>
      </c>
      <c r="C46" s="422" t="str">
        <f>'Приложение 6'!C35</f>
        <v>Развитие связи на территории Туруханского района</v>
      </c>
      <c r="D46" s="209" t="s">
        <v>37</v>
      </c>
      <c r="E46" s="210">
        <f t="shared" ref="E46:H46" si="38">SUM(E48:E52)</f>
        <v>7523.8671199999999</v>
      </c>
      <c r="F46" s="210">
        <f t="shared" si="38"/>
        <v>11940</v>
      </c>
      <c r="G46" s="210">
        <f t="shared" si="38"/>
        <v>9390.4</v>
      </c>
      <c r="H46" s="210">
        <f t="shared" si="38"/>
        <v>12264.716</v>
      </c>
      <c r="I46" s="210">
        <f>SUM(I48:I52)</f>
        <v>13067.336670000001</v>
      </c>
      <c r="J46" s="210">
        <f t="shared" ref="J46:M46" si="39">SUM(J48:J52)</f>
        <v>12667.773999999999</v>
      </c>
      <c r="K46" s="210">
        <f t="shared" si="39"/>
        <v>12516.454</v>
      </c>
      <c r="L46" s="210">
        <f>SUM(L49:L50)</f>
        <v>15651.936000000002</v>
      </c>
      <c r="M46" s="250">
        <f t="shared" si="39"/>
        <v>12334.864</v>
      </c>
      <c r="N46" s="250">
        <f t="shared" ref="N46:O46" si="40">SUM(N48:N52)</f>
        <v>10600</v>
      </c>
      <c r="O46" s="250">
        <f t="shared" si="40"/>
        <v>10600</v>
      </c>
      <c r="P46" s="250">
        <f t="shared" si="37"/>
        <v>33534.864000000001</v>
      </c>
      <c r="Q46" s="200">
        <f>P46-'Приложение 6'!L35</f>
        <v>0</v>
      </c>
      <c r="R46" s="201">
        <f>SUM(E46:O46)</f>
        <v>128557.34779</v>
      </c>
      <c r="S46" s="202" t="b">
        <f>SUM(R48:R52)=R46</f>
        <v>1</v>
      </c>
    </row>
    <row r="47" spans="1:22" s="204" customFormat="1" x14ac:dyDescent="0.3">
      <c r="A47" s="416"/>
      <c r="B47" s="422"/>
      <c r="C47" s="422"/>
      <c r="D47" s="131" t="s">
        <v>20</v>
      </c>
      <c r="E47" s="36"/>
      <c r="F47" s="36"/>
      <c r="G47" s="36"/>
      <c r="H47" s="36"/>
      <c r="I47" s="36"/>
      <c r="J47" s="36"/>
      <c r="K47" s="36"/>
      <c r="L47" s="36"/>
      <c r="M47" s="251"/>
      <c r="N47" s="251"/>
      <c r="O47" s="251"/>
      <c r="P47" s="251"/>
      <c r="Q47" s="116"/>
      <c r="R47" s="203">
        <f t="shared" si="29"/>
        <v>0</v>
      </c>
    </row>
    <row r="48" spans="1:22" s="204" customFormat="1" x14ac:dyDescent="0.3">
      <c r="A48" s="416"/>
      <c r="B48" s="422"/>
      <c r="C48" s="422"/>
      <c r="D48" s="5" t="s">
        <v>99</v>
      </c>
      <c r="E48" s="36"/>
      <c r="F48" s="36"/>
      <c r="G48" s="36"/>
      <c r="H48" s="36"/>
      <c r="I48" s="36"/>
      <c r="J48" s="36"/>
      <c r="K48" s="36"/>
      <c r="L48" s="36"/>
      <c r="M48" s="251"/>
      <c r="N48" s="251"/>
      <c r="O48" s="251"/>
      <c r="P48" s="251">
        <f t="shared" ref="P48:P52" si="41">SUM(M48:O48)</f>
        <v>0</v>
      </c>
      <c r="Q48" s="116"/>
      <c r="R48" s="203">
        <f t="shared" si="29"/>
        <v>0</v>
      </c>
    </row>
    <row r="49" spans="1:26" s="204" customFormat="1" x14ac:dyDescent="0.3">
      <c r="A49" s="416"/>
      <c r="B49" s="422"/>
      <c r="C49" s="422"/>
      <c r="D49" s="131" t="s">
        <v>100</v>
      </c>
      <c r="E49" s="36"/>
      <c r="F49" s="36"/>
      <c r="G49" s="36"/>
      <c r="H49" s="36">
        <v>2260</v>
      </c>
      <c r="I49" s="36">
        <v>3062.2</v>
      </c>
      <c r="J49" s="36">
        <f>2654.435</f>
        <v>2654.4349999999999</v>
      </c>
      <c r="K49" s="36">
        <v>2516.4540000000002</v>
      </c>
      <c r="L49" s="36">
        <v>1249.4321399999999</v>
      </c>
      <c r="M49" s="251">
        <f>'пр к ПП4'!H17</f>
        <v>3.4697200000000001</v>
      </c>
      <c r="N49" s="251">
        <f>'пр к ПП4'!I17</f>
        <v>0</v>
      </c>
      <c r="O49" s="251">
        <f>'пр к ПП4'!J17</f>
        <v>0</v>
      </c>
      <c r="P49" s="251">
        <f t="shared" si="41"/>
        <v>3.4697200000000001</v>
      </c>
      <c r="Q49" s="116"/>
      <c r="R49" s="203">
        <f>SUM(E49:O49)</f>
        <v>11745.99086</v>
      </c>
      <c r="U49" s="204">
        <v>2667.7739999999999</v>
      </c>
      <c r="V49" s="116">
        <f>U49-J49</f>
        <v>13.338999999999942</v>
      </c>
    </row>
    <row r="50" spans="1:26" s="204" customFormat="1" x14ac:dyDescent="0.3">
      <c r="A50" s="416"/>
      <c r="B50" s="422"/>
      <c r="C50" s="422"/>
      <c r="D50" s="131" t="s">
        <v>40</v>
      </c>
      <c r="E50" s="36">
        <v>7523.8671199999999</v>
      </c>
      <c r="F50" s="36">
        <v>11940</v>
      </c>
      <c r="G50" s="36">
        <v>9390.4</v>
      </c>
      <c r="H50" s="36">
        <v>10004.716</v>
      </c>
      <c r="I50" s="36">
        <v>10005.13667</v>
      </c>
      <c r="J50" s="36">
        <f>13.339+10000</f>
        <v>10013.339</v>
      </c>
      <c r="K50" s="36">
        <v>10000</v>
      </c>
      <c r="L50" s="36">
        <v>14402.503860000001</v>
      </c>
      <c r="M50" s="251">
        <f>'пр к ПП4'!H15+'пр к ПП4'!H18</f>
        <v>12331.39428</v>
      </c>
      <c r="N50" s="251">
        <f>'пр к ПП4'!I15+'пр к ПП4'!I18</f>
        <v>10600</v>
      </c>
      <c r="O50" s="251">
        <f>'пр к ПП4'!J15+'пр к ПП4'!J18</f>
        <v>10600</v>
      </c>
      <c r="P50" s="251">
        <f t="shared" si="41"/>
        <v>33531.39428</v>
      </c>
      <c r="Q50" s="116"/>
      <c r="R50" s="203">
        <f>SUM(E50:O50)</f>
        <v>116811.35693000001</v>
      </c>
      <c r="U50" s="204">
        <v>10000</v>
      </c>
      <c r="V50" s="116">
        <f>U50-J50</f>
        <v>-13.338999999999942</v>
      </c>
      <c r="Y50" s="204">
        <f>12667.7738</f>
        <v>12667.773800000001</v>
      </c>
      <c r="Z50" s="116">
        <f>Y50-J46</f>
        <v>-1.9999999858555384E-4</v>
      </c>
    </row>
    <row r="51" spans="1:26" s="204" customFormat="1" ht="48" x14ac:dyDescent="0.3">
      <c r="A51" s="416"/>
      <c r="B51" s="422"/>
      <c r="C51" s="422"/>
      <c r="D51" s="6" t="s">
        <v>101</v>
      </c>
      <c r="E51" s="37"/>
      <c r="F51" s="37"/>
      <c r="G51" s="37"/>
      <c r="H51" s="37"/>
      <c r="I51" s="36"/>
      <c r="J51" s="36"/>
      <c r="K51" s="36"/>
      <c r="L51" s="36"/>
      <c r="M51" s="251"/>
      <c r="N51" s="251"/>
      <c r="O51" s="251"/>
      <c r="P51" s="251">
        <f t="shared" si="41"/>
        <v>0</v>
      </c>
      <c r="Q51" s="116"/>
      <c r="R51" s="203">
        <f t="shared" si="29"/>
        <v>0</v>
      </c>
    </row>
    <row r="52" spans="1:26" s="207" customFormat="1" ht="19.5" thickBot="1" x14ac:dyDescent="0.35">
      <c r="A52" s="416"/>
      <c r="B52" s="422"/>
      <c r="C52" s="422"/>
      <c r="D52" s="131" t="s">
        <v>21</v>
      </c>
      <c r="E52" s="36"/>
      <c r="F52" s="36"/>
      <c r="G52" s="36"/>
      <c r="H52" s="36"/>
      <c r="I52" s="36"/>
      <c r="J52" s="36"/>
      <c r="K52" s="36"/>
      <c r="L52" s="36"/>
      <c r="M52" s="251"/>
      <c r="N52" s="251"/>
      <c r="O52" s="251"/>
      <c r="P52" s="251">
        <f t="shared" si="41"/>
        <v>0</v>
      </c>
      <c r="Q52" s="205"/>
      <c r="R52" s="206">
        <f t="shared" si="29"/>
        <v>0</v>
      </c>
    </row>
    <row r="53" spans="1:26" x14ac:dyDescent="0.3">
      <c r="A53" s="7"/>
      <c r="B53" s="4"/>
      <c r="C53" s="4"/>
      <c r="D53" s="4"/>
      <c r="E53" s="13"/>
      <c r="F53" s="13"/>
      <c r="G53" s="13"/>
      <c r="H53" s="13"/>
      <c r="I53" s="13"/>
      <c r="J53" s="13"/>
      <c r="L53" s="13"/>
    </row>
    <row r="54" spans="1:26" x14ac:dyDescent="0.3">
      <c r="A54" s="7"/>
      <c r="B54" s="4"/>
      <c r="C54" s="4"/>
      <c r="D54" s="4"/>
      <c r="E54" s="13"/>
      <c r="F54" s="13"/>
      <c r="G54" s="13"/>
      <c r="H54" s="13"/>
      <c r="I54" s="13"/>
      <c r="J54" s="13"/>
      <c r="L54" s="13"/>
    </row>
    <row r="55" spans="1:26" x14ac:dyDescent="0.3">
      <c r="A55" s="7"/>
      <c r="B55" s="4"/>
      <c r="C55" s="4"/>
      <c r="D55" s="4"/>
      <c r="E55" s="13"/>
      <c r="F55" s="13"/>
      <c r="G55" s="13"/>
      <c r="H55" s="13"/>
      <c r="I55" s="13"/>
      <c r="J55" s="13"/>
      <c r="L55" s="13"/>
    </row>
    <row r="56" spans="1:26" x14ac:dyDescent="0.3">
      <c r="A56" s="7"/>
      <c r="B56" s="4"/>
      <c r="C56" s="4"/>
      <c r="D56" s="4"/>
      <c r="E56" s="13"/>
      <c r="F56" s="13"/>
      <c r="G56" s="13"/>
      <c r="H56" s="13"/>
      <c r="I56" s="13"/>
      <c r="J56" s="13"/>
      <c r="L56" s="13"/>
    </row>
    <row r="57" spans="1:26" x14ac:dyDescent="0.3">
      <c r="A57" s="7"/>
      <c r="B57" s="4"/>
      <c r="C57" s="4"/>
      <c r="D57" s="4"/>
      <c r="E57" s="13"/>
      <c r="F57" s="13"/>
      <c r="G57" s="13"/>
      <c r="H57" s="13"/>
      <c r="I57" s="13"/>
      <c r="J57" s="13"/>
      <c r="L57" s="13"/>
    </row>
    <row r="58" spans="1:26" x14ac:dyDescent="0.3">
      <c r="A58" s="7"/>
      <c r="B58" s="4"/>
      <c r="C58" s="4"/>
      <c r="D58" s="4"/>
      <c r="E58" s="13"/>
      <c r="F58" s="13"/>
      <c r="G58" s="13"/>
      <c r="H58" s="13"/>
      <c r="I58" s="13"/>
      <c r="J58" s="13"/>
      <c r="L58" s="13"/>
    </row>
    <row r="59" spans="1:26" x14ac:dyDescent="0.3">
      <c r="A59" s="7"/>
      <c r="B59" s="4"/>
      <c r="C59" s="4"/>
      <c r="D59" s="4"/>
      <c r="E59" s="13"/>
      <c r="F59" s="13"/>
      <c r="G59" s="13"/>
      <c r="H59" s="13"/>
      <c r="I59" s="13"/>
      <c r="J59" s="13"/>
      <c r="L59" s="13"/>
    </row>
    <row r="60" spans="1:26" s="143" customFormat="1" ht="15.75" outlineLevel="1" x14ac:dyDescent="0.25">
      <c r="A60" s="2"/>
      <c r="B60" s="1" t="s">
        <v>223</v>
      </c>
      <c r="C60" s="1"/>
      <c r="D60" s="1"/>
      <c r="E60" s="2"/>
      <c r="F60" s="1"/>
      <c r="G60" s="1"/>
      <c r="H60" s="1"/>
      <c r="I60" s="12"/>
      <c r="J60" s="12"/>
      <c r="K60" s="12"/>
      <c r="L60" s="12"/>
      <c r="M60" s="1"/>
      <c r="N60" s="1"/>
      <c r="O60" s="1"/>
      <c r="P60" s="1"/>
    </row>
    <row r="61" spans="1:26" s="143" customFormat="1" ht="15.75" outlineLevel="1" x14ac:dyDescent="0.25">
      <c r="A61" s="2"/>
      <c r="B61" s="1" t="s">
        <v>224</v>
      </c>
      <c r="C61" s="1"/>
      <c r="D61" s="1"/>
      <c r="E61" s="2"/>
      <c r="F61" s="1"/>
      <c r="G61" s="1"/>
      <c r="H61" s="1"/>
      <c r="I61" s="12"/>
      <c r="J61" s="12"/>
      <c r="K61" s="12"/>
      <c r="L61" s="12"/>
      <c r="M61" s="1" t="b">
        <f>M25='пр к ПП1'!H35</f>
        <v>1</v>
      </c>
      <c r="N61" s="1" t="b">
        <f>N25='пр к ПП1'!I35</f>
        <v>1</v>
      </c>
      <c r="O61" s="1" t="b">
        <f>O25='пр к ПП1'!J35</f>
        <v>1</v>
      </c>
      <c r="P61" s="1" t="b">
        <f>P25='пр к ПП1'!K35</f>
        <v>1</v>
      </c>
      <c r="Q61" s="143" t="b">
        <f>Q34='пр к ПП1'!K47</f>
        <v>1</v>
      </c>
    </row>
    <row r="62" spans="1:26" s="143" customFormat="1" ht="15.75" outlineLevel="1" x14ac:dyDescent="0.25">
      <c r="A62" s="2"/>
      <c r="B62" s="1" t="s">
        <v>225</v>
      </c>
      <c r="C62" s="1"/>
      <c r="D62" s="1"/>
      <c r="E62" s="2"/>
      <c r="F62" s="1"/>
      <c r="G62" s="1"/>
      <c r="H62" s="1"/>
      <c r="I62" s="12"/>
      <c r="J62" s="12"/>
      <c r="K62" s="12"/>
      <c r="L62" s="12"/>
      <c r="M62" s="1" t="b">
        <f>M32='пр к ПП2'!H44</f>
        <v>1</v>
      </c>
      <c r="N62" s="1" t="b">
        <f>N32='пр к ПП2'!I44</f>
        <v>1</v>
      </c>
      <c r="O62" s="1" t="b">
        <f>O32='пр к ПП2'!J44</f>
        <v>1</v>
      </c>
      <c r="P62" s="1" t="b">
        <f>P32='пр к ПП2'!K44</f>
        <v>1</v>
      </c>
      <c r="Q62" s="143" t="b">
        <f>Q38='пр к ПП2'!K56</f>
        <v>1</v>
      </c>
    </row>
    <row r="63" spans="1:26" s="143" customFormat="1" ht="15.75" outlineLevel="1" x14ac:dyDescent="0.25">
      <c r="A63" s="2"/>
      <c r="B63" s="1" t="s">
        <v>226</v>
      </c>
      <c r="C63" s="1"/>
      <c r="D63" s="1"/>
      <c r="E63" s="2"/>
      <c r="F63" s="1"/>
      <c r="G63" s="1"/>
      <c r="H63" s="1"/>
      <c r="I63" s="12"/>
      <c r="J63" s="12"/>
      <c r="K63" s="12"/>
      <c r="L63" s="12"/>
      <c r="M63" s="1" t="b">
        <f>M39='пр к ПП3'!H24</f>
        <v>1</v>
      </c>
      <c r="N63" s="1" t="b">
        <f>N39='пр к ПП3'!I24</f>
        <v>1</v>
      </c>
      <c r="O63" s="1" t="b">
        <f>O39='пр к ПП3'!J24</f>
        <v>1</v>
      </c>
      <c r="P63" s="1" t="b">
        <f>P39='пр к ПП3'!K24</f>
        <v>1</v>
      </c>
      <c r="Q63" s="143" t="b">
        <f>Q42='пр к ПП3'!K36</f>
        <v>1</v>
      </c>
    </row>
    <row r="64" spans="1:26" s="143" customFormat="1" ht="15.75" outlineLevel="1" x14ac:dyDescent="0.25">
      <c r="A64" s="2"/>
      <c r="B64" s="1" t="s">
        <v>227</v>
      </c>
      <c r="C64" s="1"/>
      <c r="D64" s="1"/>
      <c r="E64" s="2"/>
      <c r="F64" s="1"/>
      <c r="G64" s="1"/>
      <c r="H64" s="1"/>
      <c r="I64" s="12"/>
      <c r="J64" s="12"/>
      <c r="K64" s="12"/>
      <c r="L64" s="12"/>
      <c r="M64" s="1" t="b">
        <f>M46='пр к ПП4'!H20</f>
        <v>1</v>
      </c>
      <c r="N64" s="1" t="b">
        <f>N46='пр к ПП4'!I20</f>
        <v>1</v>
      </c>
      <c r="O64" s="1" t="b">
        <f>O46='пр к ПП4'!J20</f>
        <v>1</v>
      </c>
      <c r="P64" s="1" t="b">
        <f>P46='пр к ПП4'!K20</f>
        <v>1</v>
      </c>
      <c r="Q64" s="143" t="b">
        <f>Q46='пр к ПП4'!L20</f>
        <v>0</v>
      </c>
    </row>
    <row r="65" spans="1:17" s="143" customFormat="1" ht="15.75" outlineLevel="1" x14ac:dyDescent="0.25">
      <c r="A65" s="2"/>
      <c r="B65" s="1"/>
      <c r="C65" s="1"/>
      <c r="D65" s="1"/>
      <c r="E65" s="2"/>
      <c r="F65" s="1"/>
      <c r="G65" s="1"/>
      <c r="H65" s="1"/>
      <c r="I65" s="12"/>
      <c r="J65" s="12"/>
      <c r="K65" s="12"/>
      <c r="L65" s="12"/>
      <c r="M65" s="1"/>
      <c r="N65" s="1"/>
      <c r="O65" s="1"/>
      <c r="P65" s="1"/>
    </row>
    <row r="66" spans="1:17" s="143" customFormat="1" ht="15.75" outlineLevel="1" x14ac:dyDescent="0.25">
      <c r="A66" s="2"/>
      <c r="B66" s="1"/>
      <c r="C66" s="1"/>
      <c r="D66" s="1"/>
      <c r="E66" s="2"/>
      <c r="F66" s="1"/>
      <c r="G66" s="1"/>
      <c r="H66" s="1"/>
      <c r="I66" s="12"/>
      <c r="J66" s="12"/>
      <c r="K66" s="12"/>
      <c r="L66" s="12"/>
      <c r="M66" s="1"/>
      <c r="N66" s="1"/>
      <c r="O66" s="1"/>
      <c r="P66" s="1"/>
    </row>
    <row r="67" spans="1:17" s="143" customFormat="1" ht="15.75" outlineLevel="1" x14ac:dyDescent="0.25">
      <c r="A67" s="2"/>
      <c r="B67" s="1" t="s">
        <v>224</v>
      </c>
      <c r="C67" s="1"/>
      <c r="D67" s="1"/>
      <c r="E67" s="2"/>
      <c r="F67" s="1"/>
      <c r="G67" s="1"/>
      <c r="H67" s="1"/>
      <c r="I67" s="95">
        <f>I25-'пр к ПП1'!H35</f>
        <v>-80582.94683999999</v>
      </c>
      <c r="J67" s="95"/>
      <c r="K67" s="95"/>
      <c r="L67" s="95"/>
      <c r="M67" s="253">
        <f>M25-'пр к ПП1'!H35</f>
        <v>0</v>
      </c>
      <c r="N67" s="253">
        <f>N25-'пр к ПП1'!I35</f>
        <v>0</v>
      </c>
      <c r="O67" s="253">
        <f>O25-'пр к ПП1'!J35</f>
        <v>0</v>
      </c>
      <c r="P67" s="253">
        <f>P25-'пр к ПП1'!K35</f>
        <v>0</v>
      </c>
      <c r="Q67" s="191">
        <f>Q34-'пр к ПП1'!K47</f>
        <v>0</v>
      </c>
    </row>
    <row r="68" spans="1:17" s="143" customFormat="1" ht="15.75" outlineLevel="1" x14ac:dyDescent="0.25">
      <c r="A68" s="2"/>
      <c r="B68" s="1" t="s">
        <v>225</v>
      </c>
      <c r="C68" s="1"/>
      <c r="D68" s="1"/>
      <c r="E68" s="2"/>
      <c r="F68" s="1"/>
      <c r="G68" s="1"/>
      <c r="H68" s="1"/>
      <c r="I68" s="95">
        <f>I32-'пр к ПП2'!H44</f>
        <v>-121849.37629000001</v>
      </c>
      <c r="J68" s="95"/>
      <c r="K68" s="95"/>
      <c r="L68" s="95"/>
      <c r="M68" s="253">
        <f>M32-'пр к ПП2'!H44</f>
        <v>0</v>
      </c>
      <c r="N68" s="253">
        <f>N32-'пр к ПП2'!I44</f>
        <v>0</v>
      </c>
      <c r="O68" s="253">
        <f>O32-'пр к ПП2'!J44</f>
        <v>0</v>
      </c>
      <c r="P68" s="253">
        <f>P32-'пр к ПП2'!K44</f>
        <v>0</v>
      </c>
      <c r="Q68" s="191">
        <f>Q38-'пр к ПП2'!K56</f>
        <v>0</v>
      </c>
    </row>
    <row r="69" spans="1:17" s="143" customFormat="1" ht="15.75" outlineLevel="1" x14ac:dyDescent="0.25">
      <c r="A69" s="2"/>
      <c r="B69" s="1" t="s">
        <v>226</v>
      </c>
      <c r="C69" s="1"/>
      <c r="D69" s="1"/>
      <c r="E69" s="2"/>
      <c r="F69" s="1"/>
      <c r="G69" s="1"/>
      <c r="H69" s="1"/>
      <c r="I69" s="95">
        <f>I39-'пр к ПП3'!H24</f>
        <v>80</v>
      </c>
      <c r="J69" s="95"/>
      <c r="K69" s="95"/>
      <c r="L69" s="95"/>
      <c r="M69" s="253">
        <f>M39-'пр к ПП3'!H24</f>
        <v>0</v>
      </c>
      <c r="N69" s="253">
        <f>N39-'пр к ПП3'!I24</f>
        <v>0</v>
      </c>
      <c r="O69" s="253">
        <f>O39-'пр к ПП3'!J24</f>
        <v>0</v>
      </c>
      <c r="P69" s="253">
        <f>P39-'пр к ПП3'!K24</f>
        <v>0</v>
      </c>
      <c r="Q69" s="191">
        <f>Q42-'пр к ПП3'!K36</f>
        <v>0</v>
      </c>
    </row>
    <row r="70" spans="1:17" s="143" customFormat="1" ht="15.75" outlineLevel="1" x14ac:dyDescent="0.25">
      <c r="A70" s="2"/>
      <c r="B70" s="1" t="s">
        <v>227</v>
      </c>
      <c r="C70" s="1"/>
      <c r="D70" s="1"/>
      <c r="E70" s="2"/>
      <c r="F70" s="1"/>
      <c r="G70" s="1"/>
      <c r="H70" s="1"/>
      <c r="I70" s="95">
        <f>I46-'пр к ПП4'!H20</f>
        <v>732.47267000000102</v>
      </c>
      <c r="J70" s="95"/>
      <c r="K70" s="95"/>
      <c r="L70" s="95"/>
      <c r="M70" s="253">
        <f>M46-'пр к ПП4'!H20</f>
        <v>0</v>
      </c>
      <c r="N70" s="253">
        <f>N46-'пр к ПП4'!I20</f>
        <v>0</v>
      </c>
      <c r="O70" s="253">
        <f>O46-'пр к ПП4'!J20</f>
        <v>0</v>
      </c>
      <c r="P70" s="253">
        <f>P46-'пр к ПП4'!K20</f>
        <v>0</v>
      </c>
      <c r="Q70" s="191">
        <f>Q46-'пр к ПП4'!K32</f>
        <v>0</v>
      </c>
    </row>
    <row r="71" spans="1:17" outlineLevel="1" x14ac:dyDescent="0.3">
      <c r="A71" s="7"/>
      <c r="B71" s="4"/>
      <c r="C71" s="4"/>
      <c r="D71" s="4"/>
      <c r="E71" s="13"/>
      <c r="F71" s="13"/>
      <c r="G71" s="13"/>
      <c r="H71" s="13"/>
      <c r="I71" s="13"/>
      <c r="J71" s="13"/>
      <c r="L71" s="13"/>
    </row>
    <row r="72" spans="1:17" outlineLevel="1" x14ac:dyDescent="0.3">
      <c r="A72" s="7"/>
      <c r="B72" s="4"/>
      <c r="C72" s="4"/>
      <c r="D72" s="4"/>
      <c r="E72" s="13"/>
      <c r="F72" s="13"/>
      <c r="G72" s="13"/>
      <c r="H72" s="13"/>
      <c r="I72" s="13"/>
      <c r="J72" s="13"/>
      <c r="L72" s="13"/>
    </row>
    <row r="73" spans="1:17" x14ac:dyDescent="0.3">
      <c r="A73" s="7"/>
      <c r="B73" s="4"/>
      <c r="C73" s="4"/>
      <c r="D73" s="4"/>
      <c r="E73" s="13"/>
      <c r="F73" s="13"/>
      <c r="G73" s="13"/>
      <c r="H73" s="13"/>
      <c r="I73" s="13"/>
      <c r="J73" s="13"/>
      <c r="L73" s="13"/>
    </row>
    <row r="74" spans="1:17" x14ac:dyDescent="0.3">
      <c r="A74" s="7"/>
      <c r="B74" s="4"/>
      <c r="C74" s="4"/>
      <c r="D74" s="4"/>
      <c r="E74" s="13"/>
      <c r="F74" s="13"/>
      <c r="G74" s="13"/>
      <c r="H74" s="13"/>
      <c r="I74" s="13"/>
      <c r="J74" s="13"/>
      <c r="L74" s="13"/>
    </row>
    <row r="75" spans="1:17" x14ac:dyDescent="0.3">
      <c r="A75" s="7"/>
      <c r="B75" s="4"/>
      <c r="C75" s="4"/>
      <c r="D75" s="4"/>
      <c r="E75" s="13"/>
      <c r="F75" s="13"/>
      <c r="G75" s="13"/>
      <c r="H75" s="13"/>
      <c r="I75" s="13"/>
      <c r="J75" s="13"/>
      <c r="L75" s="13"/>
    </row>
  </sheetData>
  <mergeCells count="28">
    <mergeCell ref="M1:P1"/>
    <mergeCell ref="A15:A16"/>
    <mergeCell ref="B15:B16"/>
    <mergeCell ref="C15:C16"/>
    <mergeCell ref="D15:D16"/>
    <mergeCell ref="A12:P12"/>
    <mergeCell ref="A11:P11"/>
    <mergeCell ref="M4:P4"/>
    <mergeCell ref="A7:P7"/>
    <mergeCell ref="A8:P8"/>
    <mergeCell ref="A9:P9"/>
    <mergeCell ref="A10:P10"/>
    <mergeCell ref="A39:A45"/>
    <mergeCell ref="B39:B45"/>
    <mergeCell ref="C39:C45"/>
    <mergeCell ref="A46:A52"/>
    <mergeCell ref="P15:P16"/>
    <mergeCell ref="A18:A24"/>
    <mergeCell ref="B18:B24"/>
    <mergeCell ref="C18:C24"/>
    <mergeCell ref="A32:A38"/>
    <mergeCell ref="B32:B38"/>
    <mergeCell ref="C32:C38"/>
    <mergeCell ref="B46:B52"/>
    <mergeCell ref="C46:C52"/>
    <mergeCell ref="A25:A31"/>
    <mergeCell ref="B25:B31"/>
    <mergeCell ref="C25:C31"/>
  </mergeCells>
  <pageMargins left="0.78740157480314965" right="0.78740157480314965" top="1.1811023622047245" bottom="0.19685039370078741" header="0.31496062992125984" footer="0.31496062992125984"/>
  <pageSetup paperSize="9" scale="81" fitToHeight="0" orientation="landscape" r:id="rId1"/>
  <rowBreaks count="2" manualBreakCount="2">
    <brk id="24" max="17" man="1"/>
    <brk id="52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28"/>
      <c r="B1" s="423" t="s">
        <v>19</v>
      </c>
      <c r="C1" s="423" t="s">
        <v>174</v>
      </c>
      <c r="D1" s="423" t="s">
        <v>175</v>
      </c>
      <c r="E1" s="423" t="s">
        <v>176</v>
      </c>
      <c r="F1" s="423" t="s">
        <v>177</v>
      </c>
      <c r="G1" s="423"/>
      <c r="H1" s="423"/>
      <c r="I1" s="423"/>
      <c r="J1" s="423"/>
      <c r="K1" s="424"/>
      <c r="M1" s="423" t="s">
        <v>177</v>
      </c>
      <c r="N1" s="423"/>
      <c r="O1" s="423"/>
      <c r="P1" s="423"/>
    </row>
    <row r="2" spans="1:16" x14ac:dyDescent="0.25">
      <c r="A2" s="428"/>
      <c r="B2" s="423"/>
      <c r="C2" s="423"/>
      <c r="D2" s="423"/>
      <c r="E2" s="423"/>
      <c r="F2" s="423" t="s">
        <v>178</v>
      </c>
      <c r="G2" s="423"/>
      <c r="H2" s="423"/>
      <c r="I2" s="423"/>
      <c r="J2" s="423" t="s">
        <v>179</v>
      </c>
      <c r="K2" s="424"/>
      <c r="M2" s="423" t="s">
        <v>178</v>
      </c>
      <c r="N2" s="423"/>
      <c r="O2" s="423"/>
      <c r="P2" s="423"/>
    </row>
    <row r="3" spans="1:16" x14ac:dyDescent="0.25">
      <c r="A3" s="428"/>
      <c r="B3" s="423"/>
      <c r="C3" s="423"/>
      <c r="D3" s="423"/>
      <c r="E3" s="423"/>
      <c r="F3" s="423" t="s">
        <v>180</v>
      </c>
      <c r="G3" s="423"/>
      <c r="H3" s="423"/>
      <c r="I3" s="423" t="s">
        <v>181</v>
      </c>
      <c r="J3" s="423"/>
      <c r="K3" s="424"/>
      <c r="M3" s="423" t="s">
        <v>180</v>
      </c>
      <c r="N3" s="423"/>
      <c r="O3" s="423"/>
      <c r="P3" s="423" t="s">
        <v>181</v>
      </c>
    </row>
    <row r="4" spans="1:16" x14ac:dyDescent="0.25">
      <c r="A4" s="428"/>
      <c r="B4" s="423"/>
      <c r="C4" s="423"/>
      <c r="D4" s="423"/>
      <c r="E4" s="423"/>
      <c r="F4" s="99" t="str">
        <f>LEFT('Приложение 6'!I13,4)</f>
        <v>2022</v>
      </c>
      <c r="G4" s="99" t="str">
        <f>LEFT('Приложение 6'!J13,4)</f>
        <v>2023</v>
      </c>
      <c r="H4" s="99" t="str">
        <f>LEFT('Приложение 6'!K13,4)</f>
        <v>2024</v>
      </c>
      <c r="I4" s="423"/>
      <c r="J4" s="423"/>
      <c r="K4" s="424"/>
      <c r="M4" s="102" t="str">
        <f>F4</f>
        <v>2022</v>
      </c>
      <c r="N4" s="102" t="str">
        <f t="shared" ref="N4:O4" si="0">G4</f>
        <v>2023</v>
      </c>
      <c r="O4" s="102" t="str">
        <f t="shared" si="0"/>
        <v>2024</v>
      </c>
      <c r="P4" s="423"/>
    </row>
    <row r="5" spans="1:16" ht="15.75" customHeight="1" x14ac:dyDescent="0.25">
      <c r="A5" s="428"/>
      <c r="B5" s="429">
        <v>1</v>
      </c>
      <c r="C5" s="430" t="str">
        <f>'пр к ПП1'!B15</f>
        <v>Расходы на содержание автомобильных дорог общего пользования местного значения (дорожный фонд)</v>
      </c>
      <c r="D5" s="22" t="s">
        <v>190</v>
      </c>
      <c r="E5" s="423" t="s">
        <v>183</v>
      </c>
      <c r="F5" s="25">
        <f>SUM(F6:F12)</f>
        <v>26.370200000000004</v>
      </c>
      <c r="G5" s="25">
        <f t="shared" ref="G5:H5" si="1">SUM(G6:G12)</f>
        <v>27.398600000000002</v>
      </c>
      <c r="H5" s="25">
        <f t="shared" si="1"/>
        <v>28.467099999999999</v>
      </c>
      <c r="I5" s="25">
        <f t="shared" ref="I5:I20" si="2">SUM(F5:H5)</f>
        <v>82.235900000000001</v>
      </c>
      <c r="J5" s="423" t="s">
        <v>191</v>
      </c>
      <c r="K5" s="424"/>
      <c r="M5" s="73">
        <f>SUM(M6:M12)</f>
        <v>26370.2</v>
      </c>
      <c r="N5" s="73">
        <f t="shared" ref="N5:O5" si="3">SUM(N6:N12)</f>
        <v>27398.6</v>
      </c>
      <c r="O5" s="73">
        <f t="shared" si="3"/>
        <v>28467.1</v>
      </c>
      <c r="P5" s="72">
        <f t="shared" ref="P5" si="4">SUM(M5:O5)</f>
        <v>82235.899999999994</v>
      </c>
    </row>
    <row r="6" spans="1:16" ht="25.5" x14ac:dyDescent="0.25">
      <c r="A6" s="428"/>
      <c r="B6" s="429"/>
      <c r="C6" s="430"/>
      <c r="D6" s="16" t="s">
        <v>188</v>
      </c>
      <c r="E6" s="423"/>
      <c r="F6" s="34">
        <f>M6/1000</f>
        <v>3.9563999999999999</v>
      </c>
      <c r="G6" s="34">
        <f t="shared" ref="G6:H12" si="5">N6/1000</f>
        <v>4.1100000000000003</v>
      </c>
      <c r="H6" s="34">
        <f t="shared" si="5"/>
        <v>4.2709999999999999</v>
      </c>
      <c r="I6" s="25">
        <f t="shared" si="2"/>
        <v>12.337399999999999</v>
      </c>
      <c r="J6" s="423"/>
      <c r="K6" s="424"/>
      <c r="M6" s="62">
        <f>F35</f>
        <v>3956.4</v>
      </c>
      <c r="N6" s="62">
        <f t="shared" ref="N6:O12" si="6">G35</f>
        <v>4110</v>
      </c>
      <c r="O6" s="62">
        <f t="shared" si="6"/>
        <v>4271</v>
      </c>
      <c r="P6" s="72"/>
    </row>
    <row r="7" spans="1:16" ht="25.5" x14ac:dyDescent="0.25">
      <c r="A7" s="428"/>
      <c r="B7" s="429"/>
      <c r="C7" s="430"/>
      <c r="D7" s="16" t="s">
        <v>197</v>
      </c>
      <c r="E7" s="423"/>
      <c r="F7" s="34">
        <f t="shared" ref="F7:F12" si="7">M7/1000</f>
        <v>0.87920000000000009</v>
      </c>
      <c r="G7" s="34">
        <f t="shared" si="5"/>
        <v>0.91400000000000003</v>
      </c>
      <c r="H7" s="34">
        <f t="shared" si="5"/>
        <v>0.95</v>
      </c>
      <c r="I7" s="25">
        <f t="shared" si="2"/>
        <v>2.7431999999999999</v>
      </c>
      <c r="J7" s="423"/>
      <c r="K7" s="424"/>
      <c r="M7" s="62">
        <f t="shared" ref="M7:M12" si="8">F36</f>
        <v>879.2</v>
      </c>
      <c r="N7" s="62">
        <f t="shared" si="6"/>
        <v>914</v>
      </c>
      <c r="O7" s="62">
        <f t="shared" si="6"/>
        <v>950</v>
      </c>
      <c r="P7" s="72">
        <f t="shared" ref="P7:P20" si="9">SUM(M7:O7)</f>
        <v>2743.2</v>
      </c>
    </row>
    <row r="8" spans="1:16" ht="25.5" x14ac:dyDescent="0.25">
      <c r="A8" s="428"/>
      <c r="B8" s="429"/>
      <c r="C8" s="430"/>
      <c r="D8" s="16" t="s">
        <v>189</v>
      </c>
      <c r="E8" s="423"/>
      <c r="F8" s="34">
        <f t="shared" si="7"/>
        <v>2.8134000000000001</v>
      </c>
      <c r="G8" s="34">
        <f t="shared" si="5"/>
        <v>2.9220000000000002</v>
      </c>
      <c r="H8" s="34">
        <f t="shared" si="5"/>
        <v>3.036</v>
      </c>
      <c r="I8" s="25">
        <f t="shared" si="2"/>
        <v>8.7713999999999999</v>
      </c>
      <c r="J8" s="423"/>
      <c r="K8" s="424"/>
      <c r="M8" s="62">
        <f t="shared" si="8"/>
        <v>2813.4</v>
      </c>
      <c r="N8" s="62">
        <f t="shared" si="6"/>
        <v>2922</v>
      </c>
      <c r="O8" s="62">
        <f t="shared" si="6"/>
        <v>3036</v>
      </c>
      <c r="P8" s="72">
        <f t="shared" si="9"/>
        <v>8771.4</v>
      </c>
    </row>
    <row r="9" spans="1:16" ht="25.5" x14ac:dyDescent="0.25">
      <c r="A9" s="428"/>
      <c r="B9" s="429"/>
      <c r="C9" s="430"/>
      <c r="D9" s="16" t="s">
        <v>198</v>
      </c>
      <c r="E9" s="423"/>
      <c r="F9" s="34">
        <f t="shared" si="7"/>
        <v>0.87920000000000009</v>
      </c>
      <c r="G9" s="34">
        <f t="shared" si="5"/>
        <v>0.91400000000000003</v>
      </c>
      <c r="H9" s="34">
        <f t="shared" si="5"/>
        <v>0.95</v>
      </c>
      <c r="I9" s="25">
        <f t="shared" si="2"/>
        <v>2.7431999999999999</v>
      </c>
      <c r="J9" s="423"/>
      <c r="K9" s="424"/>
      <c r="M9" s="62">
        <f t="shared" si="8"/>
        <v>879.2</v>
      </c>
      <c r="N9" s="62">
        <f t="shared" si="6"/>
        <v>914</v>
      </c>
      <c r="O9" s="62">
        <f t="shared" si="6"/>
        <v>950</v>
      </c>
      <c r="P9" s="72">
        <f t="shared" si="9"/>
        <v>2743.2</v>
      </c>
    </row>
    <row r="10" spans="1:16" ht="25.5" customHeight="1" x14ac:dyDescent="0.25">
      <c r="A10" s="428"/>
      <c r="B10" s="429"/>
      <c r="C10" s="430"/>
      <c r="D10" s="78" t="s">
        <v>187</v>
      </c>
      <c r="E10" s="423"/>
      <c r="F10" s="34">
        <f t="shared" si="7"/>
        <v>8.0007999999999999</v>
      </c>
      <c r="G10" s="34">
        <f t="shared" si="5"/>
        <v>8.3125999999999998</v>
      </c>
      <c r="H10" s="34">
        <f t="shared" si="5"/>
        <v>8.6370000000000005</v>
      </c>
      <c r="I10" s="25">
        <f t="shared" si="2"/>
        <v>24.950400000000002</v>
      </c>
      <c r="J10" s="423"/>
      <c r="K10" s="424"/>
      <c r="M10" s="62">
        <f t="shared" si="8"/>
        <v>8000.8</v>
      </c>
      <c r="N10" s="62">
        <f t="shared" si="6"/>
        <v>8312.6</v>
      </c>
      <c r="O10" s="62">
        <f t="shared" si="6"/>
        <v>8637</v>
      </c>
      <c r="P10" s="72">
        <f t="shared" si="9"/>
        <v>24950.400000000001</v>
      </c>
    </row>
    <row r="11" spans="1:16" ht="25.5" x14ac:dyDescent="0.25">
      <c r="A11" s="428"/>
      <c r="B11" s="429"/>
      <c r="C11" s="430"/>
      <c r="D11" s="16" t="s">
        <v>186</v>
      </c>
      <c r="E11" s="423"/>
      <c r="F11" s="34">
        <f t="shared" si="7"/>
        <v>1.1434000000000002</v>
      </c>
      <c r="G11" s="34">
        <f t="shared" si="5"/>
        <v>1.19</v>
      </c>
      <c r="H11" s="34">
        <f t="shared" si="5"/>
        <v>1.2350000000000001</v>
      </c>
      <c r="I11" s="25">
        <f t="shared" si="2"/>
        <v>3.5684000000000005</v>
      </c>
      <c r="J11" s="423"/>
      <c r="K11" s="424"/>
      <c r="M11" s="62">
        <f t="shared" si="8"/>
        <v>1143.4000000000001</v>
      </c>
      <c r="N11" s="62">
        <f t="shared" si="6"/>
        <v>1190</v>
      </c>
      <c r="O11" s="62">
        <f t="shared" si="6"/>
        <v>1235</v>
      </c>
      <c r="P11" s="72">
        <f t="shared" si="9"/>
        <v>3568.4</v>
      </c>
    </row>
    <row r="12" spans="1:16" x14ac:dyDescent="0.25">
      <c r="A12" s="428"/>
      <c r="B12" s="429"/>
      <c r="C12" s="430"/>
      <c r="D12" s="16" t="s">
        <v>196</v>
      </c>
      <c r="E12" s="423"/>
      <c r="F12" s="34">
        <f t="shared" si="7"/>
        <v>8.6977999999999991</v>
      </c>
      <c r="G12" s="34">
        <f t="shared" si="5"/>
        <v>9.0359999999999996</v>
      </c>
      <c r="H12" s="34">
        <f t="shared" si="5"/>
        <v>9.3880999999999979</v>
      </c>
      <c r="I12" s="25">
        <f t="shared" si="2"/>
        <v>27.121899999999997</v>
      </c>
      <c r="J12" s="423"/>
      <c r="K12" s="424"/>
      <c r="M12" s="62">
        <f t="shared" si="8"/>
        <v>8697.7999999999993</v>
      </c>
      <c r="N12" s="62">
        <f t="shared" si="6"/>
        <v>9036</v>
      </c>
      <c r="O12" s="62">
        <f t="shared" si="6"/>
        <v>9388.0999999999985</v>
      </c>
      <c r="P12" s="72">
        <f t="shared" si="9"/>
        <v>27121.899999999998</v>
      </c>
    </row>
    <row r="13" spans="1:16" ht="15.75" customHeight="1" x14ac:dyDescent="0.25">
      <c r="A13" s="428"/>
      <c r="B13" s="429">
        <v>2</v>
      </c>
      <c r="C13" s="430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22" t="s">
        <v>190</v>
      </c>
      <c r="E13" s="423" t="s">
        <v>183</v>
      </c>
      <c r="F13" s="34">
        <f>SUM(F14:F20)</f>
        <v>11.636100000000001</v>
      </c>
      <c r="G13" s="34">
        <f t="shared" ref="G13:H13" si="10">SUM(G14:G20)</f>
        <v>13.9947</v>
      </c>
      <c r="H13" s="34">
        <f t="shared" si="10"/>
        <v>13.9947</v>
      </c>
      <c r="I13" s="25">
        <f t="shared" si="2"/>
        <v>39.625500000000002</v>
      </c>
      <c r="J13" s="425" t="s">
        <v>191</v>
      </c>
      <c r="K13" s="424"/>
      <c r="M13" s="74">
        <f>SUM(M14:M20)</f>
        <v>11636.1</v>
      </c>
      <c r="N13" s="74">
        <f t="shared" ref="N13:O13" si="11">SUM(N14:N20)</f>
        <v>13994.7</v>
      </c>
      <c r="O13" s="74">
        <f t="shared" si="11"/>
        <v>13994.7</v>
      </c>
      <c r="P13" s="72">
        <f t="shared" si="9"/>
        <v>39625.5</v>
      </c>
    </row>
    <row r="14" spans="1:16" ht="25.5" x14ac:dyDescent="0.25">
      <c r="A14" s="428"/>
      <c r="B14" s="429"/>
      <c r="C14" s="430"/>
      <c r="D14" s="16" t="s">
        <v>188</v>
      </c>
      <c r="E14" s="423"/>
      <c r="F14" s="34">
        <f t="shared" ref="F14:F20" si="12">M14/1000</f>
        <v>1.3959999999999999</v>
      </c>
      <c r="G14" s="34">
        <f t="shared" ref="G14:G20" si="13">N14/1000</f>
        <v>1.747684</v>
      </c>
      <c r="H14" s="34">
        <f t="shared" ref="H14:H20" si="14">O14/1000</f>
        <v>1.747684</v>
      </c>
      <c r="I14" s="25">
        <f t="shared" si="2"/>
        <v>4.8913679999999999</v>
      </c>
      <c r="J14" s="426"/>
      <c r="K14" s="424"/>
      <c r="M14" s="62">
        <f>F46</f>
        <v>1396</v>
      </c>
      <c r="N14" s="62">
        <f t="shared" ref="N14:O20" si="15">G46</f>
        <v>1747.684</v>
      </c>
      <c r="O14" s="62">
        <f t="shared" si="15"/>
        <v>1747.684</v>
      </c>
      <c r="P14" s="72">
        <f t="shared" si="9"/>
        <v>4891.3680000000004</v>
      </c>
    </row>
    <row r="15" spans="1:16" ht="25.5" x14ac:dyDescent="0.25">
      <c r="A15" s="428"/>
      <c r="B15" s="429"/>
      <c r="C15" s="430"/>
      <c r="D15" s="16" t="s">
        <v>197</v>
      </c>
      <c r="E15" s="423"/>
      <c r="F15" s="34">
        <f t="shared" si="12"/>
        <v>0.69799999999999995</v>
      </c>
      <c r="G15" s="34">
        <f t="shared" si="13"/>
        <v>0.87384400000000007</v>
      </c>
      <c r="H15" s="34">
        <f t="shared" si="14"/>
        <v>0.87384400000000007</v>
      </c>
      <c r="I15" s="25">
        <f t="shared" si="2"/>
        <v>2.4456880000000001</v>
      </c>
      <c r="J15" s="426"/>
      <c r="K15" s="424"/>
      <c r="M15" s="62">
        <f t="shared" ref="M15:M20" si="16">F47</f>
        <v>698</v>
      </c>
      <c r="N15" s="62">
        <f t="shared" si="15"/>
        <v>873.84400000000005</v>
      </c>
      <c r="O15" s="62">
        <f t="shared" si="15"/>
        <v>873.84400000000005</v>
      </c>
      <c r="P15" s="72">
        <f t="shared" si="9"/>
        <v>2445.6880000000001</v>
      </c>
    </row>
    <row r="16" spans="1:16" ht="25.5" x14ac:dyDescent="0.25">
      <c r="A16" s="428"/>
      <c r="B16" s="429"/>
      <c r="C16" s="430"/>
      <c r="D16" s="16" t="s">
        <v>189</v>
      </c>
      <c r="E16" s="423"/>
      <c r="F16" s="34">
        <f t="shared" si="12"/>
        <v>0.69799999999999995</v>
      </c>
      <c r="G16" s="34">
        <f t="shared" si="13"/>
        <v>0.87384400000000007</v>
      </c>
      <c r="H16" s="34">
        <f t="shared" si="14"/>
        <v>0.87384400000000007</v>
      </c>
      <c r="I16" s="25">
        <f t="shared" si="2"/>
        <v>2.4456880000000001</v>
      </c>
      <c r="J16" s="426"/>
      <c r="K16" s="424"/>
      <c r="M16" s="62">
        <f t="shared" si="16"/>
        <v>698</v>
      </c>
      <c r="N16" s="62">
        <f t="shared" si="15"/>
        <v>873.84400000000005</v>
      </c>
      <c r="O16" s="62">
        <f t="shared" si="15"/>
        <v>873.84400000000005</v>
      </c>
      <c r="P16" s="72">
        <f t="shared" si="9"/>
        <v>2445.6880000000001</v>
      </c>
    </row>
    <row r="17" spans="1:18" ht="25.5" x14ac:dyDescent="0.25">
      <c r="A17" s="428"/>
      <c r="B17" s="429"/>
      <c r="C17" s="430"/>
      <c r="D17" s="16" t="s">
        <v>198</v>
      </c>
      <c r="E17" s="423"/>
      <c r="F17" s="34">
        <f t="shared" si="12"/>
        <v>0.69799999999999995</v>
      </c>
      <c r="G17" s="34">
        <f t="shared" si="13"/>
        <v>0.87384400000000007</v>
      </c>
      <c r="H17" s="34">
        <f t="shared" si="14"/>
        <v>0.87384400000000007</v>
      </c>
      <c r="I17" s="25">
        <f t="shared" si="2"/>
        <v>2.4456880000000001</v>
      </c>
      <c r="J17" s="426"/>
      <c r="K17" s="424"/>
      <c r="M17" s="62">
        <f t="shared" si="16"/>
        <v>698</v>
      </c>
      <c r="N17" s="62">
        <f t="shared" si="15"/>
        <v>873.84400000000005</v>
      </c>
      <c r="O17" s="62">
        <f t="shared" si="15"/>
        <v>873.84400000000005</v>
      </c>
      <c r="P17" s="72">
        <f t="shared" si="9"/>
        <v>2445.6880000000001</v>
      </c>
    </row>
    <row r="18" spans="1:18" ht="25.5" customHeight="1" x14ac:dyDescent="0.25">
      <c r="A18" s="428"/>
      <c r="B18" s="429"/>
      <c r="C18" s="430"/>
      <c r="D18" s="103" t="s">
        <v>187</v>
      </c>
      <c r="E18" s="423"/>
      <c r="F18" s="34">
        <f t="shared" si="12"/>
        <v>5.1211000000000002</v>
      </c>
      <c r="G18" s="34">
        <f t="shared" si="13"/>
        <v>6.0293370000000008</v>
      </c>
      <c r="H18" s="34">
        <f t="shared" si="14"/>
        <v>6.0293370000000008</v>
      </c>
      <c r="I18" s="25">
        <f t="shared" si="2"/>
        <v>17.179774000000002</v>
      </c>
      <c r="J18" s="426"/>
      <c r="K18" s="424"/>
      <c r="M18" s="62">
        <f t="shared" si="16"/>
        <v>5121.1000000000004</v>
      </c>
      <c r="N18" s="62">
        <f t="shared" si="15"/>
        <v>6029.3370000000004</v>
      </c>
      <c r="O18" s="62">
        <f t="shared" si="15"/>
        <v>6029.3370000000004</v>
      </c>
      <c r="P18" s="72">
        <f t="shared" si="9"/>
        <v>17179.774000000001</v>
      </c>
    </row>
    <row r="19" spans="1:18" ht="25.5" x14ac:dyDescent="0.25">
      <c r="A19" s="428"/>
      <c r="B19" s="429"/>
      <c r="C19" s="430"/>
      <c r="D19" s="16" t="s">
        <v>186</v>
      </c>
      <c r="E19" s="423"/>
      <c r="F19" s="34">
        <f t="shared" si="12"/>
        <v>0</v>
      </c>
      <c r="G19" s="34">
        <f t="shared" si="13"/>
        <v>0</v>
      </c>
      <c r="H19" s="34">
        <f t="shared" si="14"/>
        <v>0</v>
      </c>
      <c r="I19" s="25">
        <f t="shared" si="2"/>
        <v>0</v>
      </c>
      <c r="J19" s="426"/>
      <c r="K19" s="424"/>
      <c r="M19" s="62">
        <f t="shared" si="16"/>
        <v>0</v>
      </c>
      <c r="N19" s="62">
        <f t="shared" si="15"/>
        <v>0</v>
      </c>
      <c r="O19" s="62">
        <f t="shared" si="15"/>
        <v>0</v>
      </c>
      <c r="P19" s="72">
        <f t="shared" si="9"/>
        <v>0</v>
      </c>
    </row>
    <row r="20" spans="1:18" ht="25.5" customHeight="1" x14ac:dyDescent="0.25">
      <c r="A20" s="428"/>
      <c r="B20" s="429"/>
      <c r="C20" s="430"/>
      <c r="D20" s="16" t="s">
        <v>196</v>
      </c>
      <c r="E20" s="423"/>
      <c r="F20" s="34">
        <f t="shared" si="12"/>
        <v>3.0249999999999999</v>
      </c>
      <c r="G20" s="34">
        <f t="shared" si="13"/>
        <v>3.5961469999999998</v>
      </c>
      <c r="H20" s="34">
        <f t="shared" si="14"/>
        <v>3.5961469999999998</v>
      </c>
      <c r="I20" s="25">
        <f t="shared" si="2"/>
        <v>10.217293999999999</v>
      </c>
      <c r="J20" s="427"/>
      <c r="K20" s="424"/>
      <c r="M20" s="62">
        <f t="shared" si="16"/>
        <v>3025</v>
      </c>
      <c r="N20" s="62">
        <f t="shared" si="15"/>
        <v>3596.1469999999999</v>
      </c>
      <c r="O20" s="62">
        <f t="shared" si="15"/>
        <v>3596.1469999999999</v>
      </c>
      <c r="P20" s="72">
        <f t="shared" si="9"/>
        <v>10217.294</v>
      </c>
    </row>
    <row r="21" spans="1:18" ht="93" customHeight="1" x14ac:dyDescent="0.25">
      <c r="A21" s="428"/>
      <c r="B21" s="76">
        <v>3</v>
      </c>
      <c r="C21" s="42" t="str">
        <f>'пр к ПП1'!B19</f>
        <v>Расходы на содержание дороги Туруханск - Селиваниха и дорог межселенной территории (дорожный фонд)</v>
      </c>
      <c r="D21" s="22" t="s">
        <v>192</v>
      </c>
      <c r="E21" s="38" t="s">
        <v>183</v>
      </c>
      <c r="F21" s="26">
        <f>('пр к ПП1'!H20+'пр к ПП1'!H19)/1000</f>
        <v>14.304979999999999</v>
      </c>
      <c r="G21" s="26">
        <f>('пр к ПП1'!I20+'пр к ПП1'!I19)/1000</f>
        <v>5.65083</v>
      </c>
      <c r="H21" s="26">
        <f>('пр к ПП1'!J20+'пр к ПП1'!J19)/1000</f>
        <v>5.65083</v>
      </c>
      <c r="I21" s="25">
        <f>SUM(F21:H21)</f>
        <v>25.606639999999999</v>
      </c>
      <c r="J21" s="75" t="s">
        <v>184</v>
      </c>
      <c r="K21" s="424"/>
    </row>
    <row r="22" spans="1:18" ht="109.5" customHeight="1" x14ac:dyDescent="0.25">
      <c r="A22" s="428"/>
      <c r="B22" s="76">
        <v>4</v>
      </c>
      <c r="C22" s="42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22" t="s">
        <v>193</v>
      </c>
      <c r="E22" s="38" t="s">
        <v>194</v>
      </c>
      <c r="F22" s="25">
        <f>'пр к ПП1'!H22/1000</f>
        <v>2.6387550000000002</v>
      </c>
      <c r="G22" s="25">
        <f>'пр к ПП1'!I22/1000</f>
        <v>2.6387550000000002</v>
      </c>
      <c r="H22" s="25">
        <f>'пр к ПП1'!J22/1000</f>
        <v>2.6387550000000002</v>
      </c>
      <c r="I22" s="25">
        <f>'пр к ПП1'!K22/1000</f>
        <v>7.9162650000000001</v>
      </c>
      <c r="J22" s="75" t="s">
        <v>184</v>
      </c>
      <c r="K22" s="424"/>
    </row>
    <row r="23" spans="1:18" ht="109.5" customHeight="1" x14ac:dyDescent="0.25">
      <c r="A23" s="428"/>
      <c r="B23" s="431">
        <v>5</v>
      </c>
      <c r="C23" s="431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25" t="s">
        <v>192</v>
      </c>
      <c r="E23" s="433" t="s">
        <v>183</v>
      </c>
      <c r="F23" s="72" t="e">
        <f>'пр к ПП1'!H24/1000</f>
        <v>#VALUE!</v>
      </c>
      <c r="G23" s="72">
        <f>'пр к ПП1'!I24/1000</f>
        <v>0</v>
      </c>
      <c r="H23" s="72">
        <f>'пр к ПП1'!J24/1000</f>
        <v>0</v>
      </c>
      <c r="I23" s="72">
        <f>'пр к ПП1'!K24/1000</f>
        <v>0</v>
      </c>
      <c r="J23" s="104" t="s">
        <v>191</v>
      </c>
      <c r="K23" s="77"/>
    </row>
    <row r="24" spans="1:18" ht="109.5" customHeight="1" x14ac:dyDescent="0.25">
      <c r="A24" s="428"/>
      <c r="B24" s="432"/>
      <c r="C24" s="432"/>
      <c r="D24" s="427"/>
      <c r="E24" s="434"/>
      <c r="F24" s="72" t="e">
        <f>'пр к ПП1'!H25/1000</f>
        <v>#VALUE!</v>
      </c>
      <c r="G24" s="72">
        <f>'пр к ПП1'!I25/1000</f>
        <v>0</v>
      </c>
      <c r="H24" s="72">
        <f>'пр к ПП1'!J25/1000</f>
        <v>0</v>
      </c>
      <c r="I24" s="72">
        <f>'пр к ПП1'!K25/1000</f>
        <v>0</v>
      </c>
      <c r="J24" s="75" t="s">
        <v>184</v>
      </c>
      <c r="K24" s="105"/>
    </row>
    <row r="25" spans="1:18" ht="109.5" customHeight="1" x14ac:dyDescent="0.25">
      <c r="A25" s="428"/>
      <c r="B25" s="97">
        <v>6</v>
      </c>
      <c r="C25" s="42" t="str">
        <f>'пр к ПП1'!B29</f>
        <v>Обустройство и содержание зимней автодороги Игарка - Светлогосрк - Туруханск</v>
      </c>
      <c r="D25" s="22" t="s">
        <v>192</v>
      </c>
      <c r="E25" s="38" t="s">
        <v>183</v>
      </c>
      <c r="F25" s="25">
        <f>'пр к ПП1'!H29/1000</f>
        <v>32.35</v>
      </c>
      <c r="G25" s="25">
        <f>'пр к ПП1'!I29/1000</f>
        <v>32.35</v>
      </c>
      <c r="H25" s="25">
        <f>'пр к ПП1'!J29/1000</f>
        <v>32.35</v>
      </c>
      <c r="I25" s="25">
        <f>'пр к ПП1'!K29/1000</f>
        <v>97.05</v>
      </c>
      <c r="J25" s="96" t="s">
        <v>184</v>
      </c>
      <c r="K25" s="98"/>
    </row>
    <row r="26" spans="1:18" x14ac:dyDescent="0.25">
      <c r="A26" s="428"/>
      <c r="B26" s="23"/>
      <c r="C26" s="48" t="s">
        <v>217</v>
      </c>
      <c r="D26" s="23" t="s">
        <v>30</v>
      </c>
      <c r="E26" s="23" t="s">
        <v>30</v>
      </c>
      <c r="F26" s="27" t="e">
        <f>F5+F13+F21+F22+F23+F24+F25</f>
        <v>#VALUE!</v>
      </c>
      <c r="G26" s="27">
        <f>G5+G13+G21+G22+G23+G24+G25</f>
        <v>82.032885000000007</v>
      </c>
      <c r="H26" s="27">
        <f t="shared" ref="H26:I26" si="17">H5+H13+H21+H22+H23+H24+H25</f>
        <v>83.101384999999993</v>
      </c>
      <c r="I26" s="27">
        <f t="shared" si="17"/>
        <v>252.43430499999999</v>
      </c>
      <c r="J26" s="23" t="s">
        <v>30</v>
      </c>
      <c r="K26" s="39"/>
    </row>
    <row r="28" spans="1:18" s="29" customFormat="1" x14ac:dyDescent="0.25">
      <c r="B28" s="28"/>
      <c r="F28" s="30">
        <f>SUM(F6:F12,F14:F20)</f>
        <v>38.006300000000003</v>
      </c>
      <c r="G28" s="30">
        <f>SUM(G6:G12,G14:G20)</f>
        <v>41.393299999999996</v>
      </c>
      <c r="H28" s="30">
        <f>SUM(H6:H12,H14:H20)</f>
        <v>42.461799999999997</v>
      </c>
      <c r="I28" s="30">
        <f>SUM(I6:I12,I14:I20)</f>
        <v>121.86140000000002</v>
      </c>
      <c r="L28"/>
      <c r="M28"/>
      <c r="N28"/>
      <c r="O28"/>
      <c r="P28"/>
      <c r="Q28"/>
      <c r="R28"/>
    </row>
    <row r="29" spans="1:18" s="29" customFormat="1" x14ac:dyDescent="0.25">
      <c r="B29" s="28"/>
      <c r="F29" s="31">
        <f>('пр к ПП1'!H17+'пр к ПП1'!H15)/1000</f>
        <v>51.265000000000001</v>
      </c>
      <c r="G29" s="31">
        <f>('пр к ПП1'!I17+'пр к ПП1'!I15)/1000</f>
        <v>29.6343</v>
      </c>
      <c r="H29" s="31">
        <f>('пр к ПП1'!J17+'пр к ПП1'!J15)/1000</f>
        <v>29.6343</v>
      </c>
      <c r="I29" s="31">
        <f>('пр к ПП1'!K17+'пр к ПП1'!K15)/1000</f>
        <v>110.53359999999999</v>
      </c>
      <c r="L29"/>
      <c r="M29"/>
      <c r="N29"/>
      <c r="O29"/>
      <c r="P29"/>
      <c r="Q29"/>
      <c r="R29"/>
    </row>
    <row r="30" spans="1:18" s="29" customFormat="1" x14ac:dyDescent="0.25">
      <c r="B30" s="28"/>
      <c r="F30" s="31" t="b">
        <f>F28=F29</f>
        <v>0</v>
      </c>
      <c r="G30" s="31" t="b">
        <f t="shared" ref="G30:I30" si="18">G28=G29</f>
        <v>0</v>
      </c>
      <c r="H30" s="31" t="b">
        <f t="shared" si="18"/>
        <v>0</v>
      </c>
      <c r="I30" s="31" t="b">
        <f t="shared" si="18"/>
        <v>0</v>
      </c>
      <c r="L30"/>
      <c r="M30"/>
      <c r="N30"/>
      <c r="O30"/>
      <c r="P30"/>
      <c r="Q30"/>
      <c r="R30"/>
    </row>
    <row r="34" spans="2:8" s="107" customFormat="1" x14ac:dyDescent="0.25">
      <c r="B34" s="108"/>
      <c r="D34" s="109" t="s">
        <v>238</v>
      </c>
      <c r="F34" s="110" t="str">
        <f>F4</f>
        <v>2022</v>
      </c>
      <c r="G34" s="110" t="str">
        <f t="shared" ref="G34:H34" si="19">G4</f>
        <v>2023</v>
      </c>
      <c r="H34" s="110" t="str">
        <f t="shared" si="19"/>
        <v>2024</v>
      </c>
    </row>
    <row r="35" spans="2:8" s="107" customFormat="1" x14ac:dyDescent="0.25">
      <c r="B35" s="108"/>
      <c r="D35" s="111" t="s">
        <v>269</v>
      </c>
      <c r="F35" s="112">
        <v>3956.4</v>
      </c>
      <c r="G35" s="113">
        <v>4110</v>
      </c>
      <c r="H35" s="113">
        <v>4271</v>
      </c>
    </row>
    <row r="36" spans="2:8" s="107" customFormat="1" x14ac:dyDescent="0.25">
      <c r="B36" s="108"/>
      <c r="D36" s="111" t="s">
        <v>270</v>
      </c>
      <c r="F36" s="112">
        <v>879.2</v>
      </c>
      <c r="G36" s="113">
        <v>914</v>
      </c>
      <c r="H36" s="113">
        <v>950</v>
      </c>
    </row>
    <row r="37" spans="2:8" s="107" customFormat="1" x14ac:dyDescent="0.25">
      <c r="B37" s="108"/>
      <c r="D37" s="111" t="s">
        <v>271</v>
      </c>
      <c r="F37" s="112">
        <v>2813.4</v>
      </c>
      <c r="G37" s="113">
        <v>2922</v>
      </c>
      <c r="H37" s="113">
        <v>3036</v>
      </c>
    </row>
    <row r="38" spans="2:8" s="107" customFormat="1" x14ac:dyDescent="0.25">
      <c r="B38" s="108"/>
      <c r="D38" s="111" t="s">
        <v>272</v>
      </c>
      <c r="F38" s="112">
        <v>879.2</v>
      </c>
      <c r="G38" s="113">
        <v>914</v>
      </c>
      <c r="H38" s="113">
        <v>950</v>
      </c>
    </row>
    <row r="39" spans="2:8" s="107" customFormat="1" x14ac:dyDescent="0.25">
      <c r="B39" s="108"/>
      <c r="D39" s="111" t="s">
        <v>273</v>
      </c>
      <c r="F39" s="112">
        <v>8000.8</v>
      </c>
      <c r="G39" s="113">
        <v>8312.6</v>
      </c>
      <c r="H39" s="113">
        <v>8637</v>
      </c>
    </row>
    <row r="40" spans="2:8" s="107" customFormat="1" x14ac:dyDescent="0.25">
      <c r="B40" s="108"/>
      <c r="D40" s="111" t="s">
        <v>274</v>
      </c>
      <c r="F40" s="112">
        <v>1143.4000000000001</v>
      </c>
      <c r="G40" s="113">
        <v>1190</v>
      </c>
      <c r="H40" s="113">
        <v>1235</v>
      </c>
    </row>
    <row r="41" spans="2:8" s="107" customFormat="1" x14ac:dyDescent="0.25">
      <c r="B41" s="108"/>
      <c r="D41" s="111" t="s">
        <v>275</v>
      </c>
      <c r="F41" s="112">
        <v>8697.7999999999993</v>
      </c>
      <c r="G41" s="113">
        <v>9036</v>
      </c>
      <c r="H41" s="113">
        <v>9388.0999999999985</v>
      </c>
    </row>
    <row r="42" spans="2:8" s="107" customFormat="1" x14ac:dyDescent="0.25">
      <c r="B42" s="108"/>
      <c r="F42" s="114">
        <f>SUM(F35:F41)</f>
        <v>26370.2</v>
      </c>
      <c r="G42" s="114">
        <f t="shared" ref="G42:H42" si="20">SUM(G35:G41)</f>
        <v>27398.6</v>
      </c>
      <c r="H42" s="114">
        <f t="shared" si="20"/>
        <v>28467.1</v>
      </c>
    </row>
    <row r="43" spans="2:8" s="107" customFormat="1" x14ac:dyDescent="0.25">
      <c r="B43" s="108"/>
    </row>
    <row r="44" spans="2:8" s="107" customFormat="1" x14ac:dyDescent="0.25">
      <c r="B44" s="108"/>
    </row>
    <row r="45" spans="2:8" s="107" customFormat="1" x14ac:dyDescent="0.25">
      <c r="B45" s="108"/>
      <c r="D45" s="109" t="s">
        <v>237</v>
      </c>
      <c r="F45" s="110" t="str">
        <f>F34</f>
        <v>2022</v>
      </c>
      <c r="G45" s="110" t="str">
        <f t="shared" ref="G45:H45" si="21">G34</f>
        <v>2023</v>
      </c>
      <c r="H45" s="110" t="str">
        <f t="shared" si="21"/>
        <v>2024</v>
      </c>
    </row>
    <row r="46" spans="2:8" s="107" customFormat="1" x14ac:dyDescent="0.25">
      <c r="B46" s="108"/>
      <c r="D46" s="111" t="s">
        <v>269</v>
      </c>
      <c r="F46" s="112">
        <v>1396</v>
      </c>
      <c r="G46" s="113">
        <v>1747.684</v>
      </c>
      <c r="H46" s="113">
        <v>1747.684</v>
      </c>
    </row>
    <row r="47" spans="2:8" s="107" customFormat="1" x14ac:dyDescent="0.25">
      <c r="B47" s="108"/>
      <c r="D47" s="111" t="s">
        <v>270</v>
      </c>
      <c r="F47" s="112">
        <v>698</v>
      </c>
      <c r="G47" s="113">
        <v>873.84400000000005</v>
      </c>
      <c r="H47" s="113">
        <v>873.84400000000005</v>
      </c>
    </row>
    <row r="48" spans="2:8" s="107" customFormat="1" x14ac:dyDescent="0.25">
      <c r="B48" s="108"/>
      <c r="D48" s="111" t="s">
        <v>271</v>
      </c>
      <c r="F48" s="112">
        <v>698</v>
      </c>
      <c r="G48" s="113">
        <v>873.84400000000005</v>
      </c>
      <c r="H48" s="113">
        <v>873.84400000000005</v>
      </c>
    </row>
    <row r="49" spans="2:8" s="107" customFormat="1" x14ac:dyDescent="0.25">
      <c r="B49" s="108"/>
      <c r="D49" s="111" t="s">
        <v>272</v>
      </c>
      <c r="F49" s="112">
        <v>698</v>
      </c>
      <c r="G49" s="113">
        <v>873.84400000000005</v>
      </c>
      <c r="H49" s="113">
        <v>873.84400000000005</v>
      </c>
    </row>
    <row r="50" spans="2:8" s="107" customFormat="1" x14ac:dyDescent="0.25">
      <c r="B50" s="108"/>
      <c r="D50" s="111" t="s">
        <v>273</v>
      </c>
      <c r="F50" s="112">
        <v>5121.1000000000004</v>
      </c>
      <c r="G50" s="113">
        <v>6029.3370000000004</v>
      </c>
      <c r="H50" s="113">
        <v>6029.3370000000004</v>
      </c>
    </row>
    <row r="51" spans="2:8" s="107" customFormat="1" x14ac:dyDescent="0.25">
      <c r="B51" s="108"/>
      <c r="D51" s="111" t="s">
        <v>274</v>
      </c>
      <c r="F51" s="112"/>
      <c r="G51" s="113"/>
      <c r="H51" s="113"/>
    </row>
    <row r="52" spans="2:8" s="107" customFormat="1" x14ac:dyDescent="0.25">
      <c r="B52" s="108"/>
      <c r="D52" s="111" t="s">
        <v>275</v>
      </c>
      <c r="F52" s="112">
        <v>3025</v>
      </c>
      <c r="G52" s="113">
        <v>3596.1469999999999</v>
      </c>
      <c r="H52" s="113">
        <v>3596.1469999999999</v>
      </c>
    </row>
    <row r="53" spans="2:8" x14ac:dyDescent="0.25">
      <c r="F53" s="114">
        <f>SUM(F46:F52)</f>
        <v>11636.1</v>
      </c>
      <c r="G53" s="114">
        <f t="shared" ref="G53" si="22">SUM(G46:G52)</f>
        <v>13994.7</v>
      </c>
      <c r="H53" s="114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23" t="s">
        <v>19</v>
      </c>
      <c r="B1" s="423" t="s">
        <v>174</v>
      </c>
      <c r="C1" s="423" t="s">
        <v>175</v>
      </c>
      <c r="D1" s="423" t="s">
        <v>176</v>
      </c>
      <c r="E1" s="423" t="s">
        <v>177</v>
      </c>
      <c r="F1" s="423"/>
      <c r="G1" s="423"/>
      <c r="H1" s="423"/>
      <c r="I1" s="423"/>
    </row>
    <row r="2" spans="1:10" x14ac:dyDescent="0.25">
      <c r="A2" s="423"/>
      <c r="B2" s="423"/>
      <c r="C2" s="423"/>
      <c r="D2" s="423"/>
      <c r="E2" s="423" t="s">
        <v>178</v>
      </c>
      <c r="F2" s="423"/>
      <c r="G2" s="423"/>
      <c r="H2" s="423"/>
      <c r="I2" s="423" t="s">
        <v>179</v>
      </c>
    </row>
    <row r="3" spans="1:10" x14ac:dyDescent="0.25">
      <c r="A3" s="423"/>
      <c r="B3" s="423"/>
      <c r="C3" s="423"/>
      <c r="D3" s="423"/>
      <c r="E3" s="423" t="s">
        <v>180</v>
      </c>
      <c r="F3" s="423"/>
      <c r="G3" s="423"/>
      <c r="H3" s="423" t="s">
        <v>181</v>
      </c>
      <c r="I3" s="423"/>
    </row>
    <row r="4" spans="1:10" x14ac:dyDescent="0.25">
      <c r="A4" s="423"/>
      <c r="B4" s="423"/>
      <c r="C4" s="423"/>
      <c r="D4" s="423"/>
      <c r="E4" s="63">
        <v>2018</v>
      </c>
      <c r="F4" s="63">
        <v>2019</v>
      </c>
      <c r="G4" s="63">
        <v>2020</v>
      </c>
      <c r="H4" s="423"/>
      <c r="I4" s="423"/>
    </row>
    <row r="5" spans="1:10" ht="92.25" customHeight="1" x14ac:dyDescent="0.25">
      <c r="A5" s="15">
        <v>1</v>
      </c>
      <c r="B5" s="16" t="s">
        <v>104</v>
      </c>
      <c r="C5" s="436" t="s">
        <v>182</v>
      </c>
      <c r="D5" s="425" t="s">
        <v>183</v>
      </c>
      <c r="E5" s="65">
        <f>'пр к ПП2'!H15/1000</f>
        <v>125.1674</v>
      </c>
      <c r="F5" s="65">
        <f>'пр к ПП2'!I15/1000</f>
        <v>125.1674</v>
      </c>
      <c r="G5" s="65">
        <f>'пр к ПП2'!J15/1000</f>
        <v>125.1674</v>
      </c>
      <c r="H5" s="65">
        <f t="shared" ref="H5:H12" si="0">SUM(E5:G5)</f>
        <v>375.50220000000002</v>
      </c>
      <c r="I5" s="15" t="s">
        <v>184</v>
      </c>
    </row>
    <row r="6" spans="1:10" ht="92.25" customHeight="1" x14ac:dyDescent="0.25">
      <c r="A6" s="75" t="s">
        <v>3</v>
      </c>
      <c r="B6" s="16" t="s">
        <v>242</v>
      </c>
      <c r="C6" s="437"/>
      <c r="D6" s="426"/>
      <c r="E6" s="65">
        <f>E5-E7</f>
        <v>113.47932674</v>
      </c>
      <c r="F6" s="65">
        <f t="shared" ref="F6:G6" si="1">F5-F7</f>
        <v>113.47932674</v>
      </c>
      <c r="G6" s="65">
        <f t="shared" si="1"/>
        <v>113.47932674</v>
      </c>
      <c r="H6" s="65">
        <f t="shared" si="0"/>
        <v>340.43798021999999</v>
      </c>
      <c r="I6" s="75" t="s">
        <v>184</v>
      </c>
    </row>
    <row r="7" spans="1:10" ht="92.25" customHeight="1" x14ac:dyDescent="0.25">
      <c r="A7" s="75" t="s">
        <v>83</v>
      </c>
      <c r="B7" s="16" t="s">
        <v>243</v>
      </c>
      <c r="C7" s="438"/>
      <c r="D7" s="427"/>
      <c r="E7" s="65">
        <f>(1688073.36+9999999.9)/1000000</f>
        <v>11.688073259999999</v>
      </c>
      <c r="F7" s="65">
        <f t="shared" ref="F7:G7" si="2">(1688073.36+9999999.9)/1000000</f>
        <v>11.688073259999999</v>
      </c>
      <c r="G7" s="65">
        <f t="shared" si="2"/>
        <v>11.688073259999999</v>
      </c>
      <c r="H7" s="65">
        <f t="shared" si="0"/>
        <v>35.064219780000002</v>
      </c>
      <c r="I7" s="75" t="s">
        <v>184</v>
      </c>
    </row>
    <row r="8" spans="1:10" ht="87" customHeight="1" x14ac:dyDescent="0.25">
      <c r="A8" s="423">
        <v>2</v>
      </c>
      <c r="B8" s="435" t="s">
        <v>105</v>
      </c>
      <c r="C8" s="17" t="s">
        <v>185</v>
      </c>
      <c r="D8" s="423" t="s">
        <v>183</v>
      </c>
      <c r="E8" s="65">
        <f>SUM(E9:E12)</f>
        <v>23.853501561414642</v>
      </c>
      <c r="F8" s="65">
        <f t="shared" ref="F8:G8" si="3">SUM(F9:F12)</f>
        <v>23.853501561414642</v>
      </c>
      <c r="G8" s="65">
        <f t="shared" si="3"/>
        <v>23.853501561414642</v>
      </c>
      <c r="H8" s="65">
        <f t="shared" si="0"/>
        <v>71.560504684243924</v>
      </c>
      <c r="I8" s="425" t="s">
        <v>184</v>
      </c>
    </row>
    <row r="9" spans="1:10" x14ac:dyDescent="0.25">
      <c r="A9" s="423"/>
      <c r="B9" s="435"/>
      <c r="C9" s="18" t="s">
        <v>187</v>
      </c>
      <c r="D9" s="423"/>
      <c r="E9" s="66">
        <f>J9/1000000</f>
        <v>18.31394842027715</v>
      </c>
      <c r="F9" s="66">
        <f>E9</f>
        <v>18.31394842027715</v>
      </c>
      <c r="G9" s="66">
        <f>F9</f>
        <v>18.31394842027715</v>
      </c>
      <c r="H9" s="66">
        <f t="shared" si="0"/>
        <v>54.94184526083145</v>
      </c>
      <c r="I9" s="426"/>
      <c r="J9" s="101">
        <v>18313948.420277148</v>
      </c>
    </row>
    <row r="10" spans="1:10" x14ac:dyDescent="0.25">
      <c r="A10" s="423"/>
      <c r="B10" s="435"/>
      <c r="C10" s="18" t="s">
        <v>188</v>
      </c>
      <c r="D10" s="423"/>
      <c r="E10" s="66">
        <f t="shared" ref="E10:E12" si="4">J10/1000000</f>
        <v>3.2322237667255029</v>
      </c>
      <c r="F10" s="66">
        <f t="shared" ref="F10:G12" si="5">E10</f>
        <v>3.2322237667255029</v>
      </c>
      <c r="G10" s="66">
        <f t="shared" si="5"/>
        <v>3.2322237667255029</v>
      </c>
      <c r="H10" s="66">
        <f t="shared" si="0"/>
        <v>9.6966713001765079</v>
      </c>
      <c r="I10" s="426"/>
      <c r="J10" s="101">
        <v>3232223.7667255029</v>
      </c>
    </row>
    <row r="11" spans="1:10" x14ac:dyDescent="0.25">
      <c r="A11" s="423"/>
      <c r="B11" s="435"/>
      <c r="C11" s="18" t="s">
        <v>189</v>
      </c>
      <c r="D11" s="423"/>
      <c r="E11" s="66">
        <f t="shared" si="4"/>
        <v>1.7207185929828479</v>
      </c>
      <c r="F11" s="66">
        <f t="shared" si="5"/>
        <v>1.7207185929828479</v>
      </c>
      <c r="G11" s="66">
        <f t="shared" si="5"/>
        <v>1.7207185929828479</v>
      </c>
      <c r="H11" s="66">
        <f t="shared" si="0"/>
        <v>5.1621557789485433</v>
      </c>
      <c r="I11" s="426"/>
      <c r="J11" s="101">
        <v>1720718.5929828479</v>
      </c>
    </row>
    <row r="12" spans="1:10" x14ac:dyDescent="0.25">
      <c r="A12" s="423"/>
      <c r="B12" s="435"/>
      <c r="C12" s="18" t="s">
        <v>186</v>
      </c>
      <c r="D12" s="423"/>
      <c r="E12" s="66">
        <f t="shared" si="4"/>
        <v>0.58661078142913992</v>
      </c>
      <c r="F12" s="66">
        <f t="shared" si="5"/>
        <v>0.58661078142913992</v>
      </c>
      <c r="G12" s="66">
        <f t="shared" si="5"/>
        <v>0.58661078142913992</v>
      </c>
      <c r="H12" s="66">
        <f t="shared" si="0"/>
        <v>1.7598323442874197</v>
      </c>
      <c r="I12" s="427"/>
      <c r="J12" s="101">
        <v>586610.7814291399</v>
      </c>
    </row>
    <row r="13" spans="1:10" ht="76.5" hidden="1" x14ac:dyDescent="0.25">
      <c r="A13" s="40">
        <v>3</v>
      </c>
      <c r="B13" s="41" t="e">
        <f>'пр к ПП2'!#REF!</f>
        <v>#REF!</v>
      </c>
      <c r="C13" s="16" t="s">
        <v>182</v>
      </c>
      <c r="D13" s="40" t="s">
        <v>215</v>
      </c>
      <c r="E13" s="66" t="e">
        <f>'пр к ПП2'!#REF!/1000</f>
        <v>#REF!</v>
      </c>
      <c r="F13" s="66" t="e">
        <f>'пр к ПП2'!#REF!/1000</f>
        <v>#REF!</v>
      </c>
      <c r="G13" s="66" t="e">
        <f>'пр к ПП2'!#REF!/1000</f>
        <v>#REF!</v>
      </c>
      <c r="H13" s="66" t="e">
        <f t="shared" ref="H13:H14" si="6">SUM(E13:G13)</f>
        <v>#REF!</v>
      </c>
      <c r="I13" s="40" t="s">
        <v>184</v>
      </c>
    </row>
    <row r="14" spans="1:10" ht="65.25" hidden="1" customHeight="1" outlineLevel="1" x14ac:dyDescent="0.25">
      <c r="A14" s="40">
        <v>3</v>
      </c>
      <c r="B14" s="41" t="str">
        <f>'пр к ПП2'!B22</f>
        <v>Создание условий для безопасности перевозок автомобильным, авиационным и речным транспортом</v>
      </c>
      <c r="C14" s="22" t="s">
        <v>192</v>
      </c>
      <c r="D14" s="40" t="s">
        <v>183</v>
      </c>
      <c r="E14" s="66">
        <f>'пр к ПП2'!H22/1000</f>
        <v>0</v>
      </c>
      <c r="F14" s="66">
        <f>'пр к ПП2'!I22/1000</f>
        <v>0</v>
      </c>
      <c r="G14" s="66">
        <f>'пр к ПП2'!J22/1000</f>
        <v>0</v>
      </c>
      <c r="H14" s="66">
        <f t="shared" si="6"/>
        <v>0</v>
      </c>
      <c r="I14" s="40" t="s">
        <v>184</v>
      </c>
    </row>
    <row r="15" spans="1:10" ht="140.25" hidden="1" outlineLevel="1" x14ac:dyDescent="0.25">
      <c r="A15" s="92">
        <v>4</v>
      </c>
      <c r="B15" s="93" t="str">
        <f>'пр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22" t="s">
        <v>255</v>
      </c>
      <c r="D15" s="92" t="s">
        <v>183</v>
      </c>
      <c r="E15" s="66">
        <f>'пр к ПП2'!H24/1000</f>
        <v>0</v>
      </c>
      <c r="F15" s="66">
        <f>'пр к ПП2'!I24/1000</f>
        <v>0</v>
      </c>
      <c r="G15" s="66">
        <f>'пр к ПП2'!J24/1000</f>
        <v>0</v>
      </c>
      <c r="H15" s="66">
        <f>'пр к ПП2'!K24/1000</f>
        <v>0</v>
      </c>
      <c r="I15" s="92" t="s">
        <v>184</v>
      </c>
    </row>
    <row r="16" spans="1:10" s="21" customFormat="1" collapsed="1" x14ac:dyDescent="0.25">
      <c r="A16" s="19"/>
      <c r="B16" s="48" t="s">
        <v>217</v>
      </c>
      <c r="C16" s="20" t="s">
        <v>30</v>
      </c>
      <c r="D16" s="20" t="s">
        <v>30</v>
      </c>
      <c r="E16" s="67">
        <f>E5+E8+E15</f>
        <v>149.02090156141463</v>
      </c>
      <c r="F16" s="67">
        <f t="shared" ref="F16:H16" si="7">F5+F8+F15</f>
        <v>149.02090156141463</v>
      </c>
      <c r="G16" s="67">
        <f t="shared" si="7"/>
        <v>149.02090156141463</v>
      </c>
      <c r="H16" s="67">
        <f t="shared" si="7"/>
        <v>447.06270468424395</v>
      </c>
      <c r="I16" s="20" t="s">
        <v>30</v>
      </c>
    </row>
    <row r="19" spans="3:8" x14ac:dyDescent="0.25">
      <c r="C19" s="18"/>
      <c r="E19" s="100">
        <f>E16*1000-'пр к ПП2'!H44</f>
        <v>-79119.394438585383</v>
      </c>
      <c r="F19" s="100">
        <f>F16*1000-'пр к ПП2'!I44</f>
        <v>-29678.394438585383</v>
      </c>
      <c r="G19" s="100">
        <f>G16*1000-'пр к ПП2'!J44</f>
        <v>-29678.394438585383</v>
      </c>
      <c r="H19" s="100">
        <f>H16*1000-'пр к ПП2'!K44</f>
        <v>-138476.18331575597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43" customWidth="1"/>
    <col min="2" max="2" width="20.375" customWidth="1"/>
    <col min="3" max="3" width="28" customWidth="1"/>
    <col min="4" max="4" width="10" customWidth="1"/>
    <col min="9" max="9" width="9" style="24"/>
  </cols>
  <sheetData>
    <row r="1" spans="1:9" x14ac:dyDescent="0.25">
      <c r="A1" s="439" t="s">
        <v>19</v>
      </c>
      <c r="B1" s="439" t="s">
        <v>174</v>
      </c>
      <c r="C1" s="439" t="s">
        <v>175</v>
      </c>
      <c r="D1" s="439" t="s">
        <v>176</v>
      </c>
      <c r="E1" s="439" t="s">
        <v>177</v>
      </c>
      <c r="F1" s="439"/>
      <c r="G1" s="439"/>
      <c r="H1" s="439"/>
      <c r="I1" s="439"/>
    </row>
    <row r="2" spans="1:9" x14ac:dyDescent="0.25">
      <c r="A2" s="439"/>
      <c r="B2" s="439"/>
      <c r="C2" s="439"/>
      <c r="D2" s="439"/>
      <c r="E2" s="439" t="s">
        <v>216</v>
      </c>
      <c r="F2" s="439"/>
      <c r="G2" s="439"/>
      <c r="H2" s="439"/>
      <c r="I2" s="439" t="s">
        <v>179</v>
      </c>
    </row>
    <row r="3" spans="1:9" x14ac:dyDescent="0.25">
      <c r="A3" s="439"/>
      <c r="B3" s="439"/>
      <c r="C3" s="439"/>
      <c r="D3" s="439"/>
      <c r="E3" s="439" t="s">
        <v>180</v>
      </c>
      <c r="F3" s="439"/>
      <c r="G3" s="439"/>
      <c r="H3" s="439" t="s">
        <v>181</v>
      </c>
      <c r="I3" s="439"/>
    </row>
    <row r="4" spans="1:9" x14ac:dyDescent="0.25">
      <c r="A4" s="439"/>
      <c r="B4" s="439"/>
      <c r="C4" s="439"/>
      <c r="D4" s="439"/>
      <c r="E4" s="75" t="str">
        <f>пп1!F4</f>
        <v>2022</v>
      </c>
      <c r="F4" s="104" t="str">
        <f>пп1!G4</f>
        <v>2023</v>
      </c>
      <c r="G4" s="104" t="str">
        <f>пп1!H4</f>
        <v>2024</v>
      </c>
      <c r="H4" s="439"/>
      <c r="I4" s="439"/>
    </row>
    <row r="5" spans="1:9" ht="72.75" hidden="1" customHeight="1" outlineLevel="1" x14ac:dyDescent="0.25">
      <c r="A5" s="79">
        <v>1</v>
      </c>
      <c r="B5" s="58" t="str">
        <f>'пр к ПП3'!B15</f>
        <v>Проведение мероприятий, направленных на обеспечение безопасного участия детей в дорожном движении</v>
      </c>
      <c r="C5" s="443" t="s">
        <v>219</v>
      </c>
      <c r="D5" s="439" t="s">
        <v>218</v>
      </c>
      <c r="E5" s="44">
        <f>E6+E7</f>
        <v>0</v>
      </c>
      <c r="F5" s="44">
        <f t="shared" ref="F5:G5" si="0">F6+F7</f>
        <v>0</v>
      </c>
      <c r="G5" s="44">
        <f t="shared" si="0"/>
        <v>0</v>
      </c>
      <c r="H5" s="44">
        <f>SUM(E5:G5)</f>
        <v>0</v>
      </c>
      <c r="I5" s="79"/>
    </row>
    <row r="6" spans="1:9" ht="101.25" hidden="1" customHeight="1" outlineLevel="1" x14ac:dyDescent="0.25">
      <c r="A6" s="79" t="s">
        <v>3</v>
      </c>
      <c r="B6" s="58" t="s">
        <v>231</v>
      </c>
      <c r="C6" s="443"/>
      <c r="D6" s="439"/>
      <c r="E6" s="44">
        <f>'пр к ПП3'!H15</f>
        <v>0</v>
      </c>
      <c r="F6" s="44">
        <f>'пр к ПП3'!I15</f>
        <v>0</v>
      </c>
      <c r="G6" s="44">
        <f>'пр к ПП3'!J15</f>
        <v>0</v>
      </c>
      <c r="H6" s="44">
        <f t="shared" ref="H6:H10" si="1">SUM(E6:G6)</f>
        <v>0</v>
      </c>
      <c r="I6" s="79" t="s">
        <v>191</v>
      </c>
    </row>
    <row r="7" spans="1:9" ht="93.75" hidden="1" customHeight="1" outlineLevel="1" x14ac:dyDescent="0.25">
      <c r="A7" s="79" t="s">
        <v>83</v>
      </c>
      <c r="B7" s="58" t="s">
        <v>232</v>
      </c>
      <c r="C7" s="443"/>
      <c r="D7" s="439"/>
      <c r="E7" s="44">
        <f>'пр к ПП3'!H16</f>
        <v>0</v>
      </c>
      <c r="F7" s="44">
        <f>'пр к ПП3'!I16</f>
        <v>0</v>
      </c>
      <c r="G7" s="44">
        <f>'пр к ПП3'!J16</f>
        <v>0</v>
      </c>
      <c r="H7" s="44">
        <f t="shared" si="1"/>
        <v>0</v>
      </c>
      <c r="I7" s="79" t="s">
        <v>184</v>
      </c>
    </row>
    <row r="8" spans="1:9" ht="38.25" customHeight="1" collapsed="1" x14ac:dyDescent="0.25">
      <c r="A8" s="440">
        <v>1</v>
      </c>
      <c r="B8" s="440" t="str">
        <f>'пр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8" t="s">
        <v>190</v>
      </c>
      <c r="D8" s="440" t="s">
        <v>55</v>
      </c>
      <c r="E8" s="46">
        <f>E9+E10</f>
        <v>220.5</v>
      </c>
      <c r="F8" s="46">
        <f>'пр к ПП3'!I18</f>
        <v>0</v>
      </c>
      <c r="G8" s="46">
        <f>'пр к ПП3'!J18</f>
        <v>0</v>
      </c>
      <c r="H8" s="44">
        <f t="shared" si="1"/>
        <v>220.5</v>
      </c>
      <c r="I8" s="440" t="s">
        <v>191</v>
      </c>
    </row>
    <row r="9" spans="1:9" ht="30.75" customHeight="1" x14ac:dyDescent="0.25">
      <c r="A9" s="441"/>
      <c r="B9" s="441"/>
      <c r="C9" s="106" t="s">
        <v>188</v>
      </c>
      <c r="D9" s="441"/>
      <c r="E9" s="46">
        <v>88.2</v>
      </c>
      <c r="F9" s="46"/>
      <c r="G9" s="46"/>
      <c r="H9" s="44">
        <f t="shared" si="1"/>
        <v>88.2</v>
      </c>
      <c r="I9" s="441"/>
    </row>
    <row r="10" spans="1:9" ht="25.5" x14ac:dyDescent="0.25">
      <c r="A10" s="442"/>
      <c r="B10" s="442"/>
      <c r="C10" s="106" t="s">
        <v>187</v>
      </c>
      <c r="D10" s="442"/>
      <c r="E10" s="46">
        <v>132.30000000000001</v>
      </c>
      <c r="F10" s="46"/>
      <c r="G10" s="46"/>
      <c r="H10" s="44">
        <f t="shared" si="1"/>
        <v>132.30000000000001</v>
      </c>
      <c r="I10" s="442"/>
    </row>
    <row r="11" spans="1:9" ht="102" x14ac:dyDescent="0.25">
      <c r="A11" s="80">
        <v>2</v>
      </c>
      <c r="B11" s="64" t="str">
        <f>'пр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81" t="s">
        <v>249</v>
      </c>
      <c r="D11" s="80" t="s">
        <v>251</v>
      </c>
      <c r="E11" s="46">
        <v>0</v>
      </c>
      <c r="F11" s="46">
        <v>0</v>
      </c>
      <c r="G11" s="46">
        <v>0</v>
      </c>
      <c r="H11" s="44">
        <v>0</v>
      </c>
      <c r="I11" s="80" t="s">
        <v>252</v>
      </c>
    </row>
    <row r="12" spans="1:9" s="21" customFormat="1" x14ac:dyDescent="0.25">
      <c r="A12" s="47"/>
      <c r="B12" s="48" t="s">
        <v>217</v>
      </c>
      <c r="C12" s="47" t="s">
        <v>30</v>
      </c>
      <c r="D12" s="47" t="s">
        <v>30</v>
      </c>
      <c r="E12" s="49">
        <f>E5+E8</f>
        <v>220.5</v>
      </c>
      <c r="F12" s="49">
        <f t="shared" ref="F12:H12" si="2">F5+F8</f>
        <v>0</v>
      </c>
      <c r="G12" s="49">
        <f t="shared" si="2"/>
        <v>0</v>
      </c>
      <c r="H12" s="49">
        <f t="shared" si="2"/>
        <v>220.5</v>
      </c>
      <c r="I12" s="47" t="s">
        <v>30</v>
      </c>
    </row>
    <row r="14" spans="1:9" x14ac:dyDescent="0.25">
      <c r="E14" s="91">
        <f>'пр к ПП3'!H24</f>
        <v>0</v>
      </c>
      <c r="F14" s="69">
        <f>'пр к ПП3'!I24</f>
        <v>0</v>
      </c>
      <c r="G14" s="69">
        <f>'пр к ПП3'!J24</f>
        <v>0</v>
      </c>
      <c r="H14">
        <f t="shared" ref="H14" si="3">SUM(E14:G14)</f>
        <v>0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39" t="s">
        <v>19</v>
      </c>
      <c r="B1" s="439" t="s">
        <v>174</v>
      </c>
      <c r="C1" s="439" t="s">
        <v>175</v>
      </c>
      <c r="D1" s="439" t="s">
        <v>176</v>
      </c>
      <c r="E1" s="439" t="s">
        <v>177</v>
      </c>
      <c r="F1" s="439"/>
      <c r="G1" s="439"/>
      <c r="H1" s="439"/>
      <c r="I1" s="439"/>
    </row>
    <row r="2" spans="1:9" x14ac:dyDescent="0.25">
      <c r="A2" s="439"/>
      <c r="B2" s="439"/>
      <c r="C2" s="439"/>
      <c r="D2" s="439"/>
      <c r="E2" s="439" t="s">
        <v>216</v>
      </c>
      <c r="F2" s="439"/>
      <c r="G2" s="439"/>
      <c r="H2" s="439"/>
      <c r="I2" s="439" t="s">
        <v>179</v>
      </c>
    </row>
    <row r="3" spans="1:9" x14ac:dyDescent="0.25">
      <c r="A3" s="439"/>
      <c r="B3" s="439"/>
      <c r="C3" s="439"/>
      <c r="D3" s="439"/>
      <c r="E3" s="439" t="s">
        <v>180</v>
      </c>
      <c r="F3" s="439"/>
      <c r="G3" s="439"/>
      <c r="H3" s="439" t="s">
        <v>181</v>
      </c>
      <c r="I3" s="439"/>
    </row>
    <row r="4" spans="1:9" x14ac:dyDescent="0.25">
      <c r="A4" s="439"/>
      <c r="B4" s="439"/>
      <c r="C4" s="439"/>
      <c r="D4" s="439"/>
      <c r="E4" s="75">
        <v>2018</v>
      </c>
      <c r="F4" s="75">
        <v>2019</v>
      </c>
      <c r="G4" s="75">
        <v>2020</v>
      </c>
      <c r="H4" s="439"/>
      <c r="I4" s="439"/>
    </row>
    <row r="5" spans="1:9" ht="178.5" customHeight="1" x14ac:dyDescent="0.25">
      <c r="A5" s="79">
        <v>1</v>
      </c>
      <c r="B5" s="84" t="s">
        <v>233</v>
      </c>
      <c r="C5" s="58" t="s">
        <v>219</v>
      </c>
      <c r="D5" s="79" t="s">
        <v>183</v>
      </c>
      <c r="E5" s="45">
        <f>'пр к ПП4'!H15/1000</f>
        <v>10.6</v>
      </c>
      <c r="F5" s="45">
        <f>'пр к ПП4'!I15/1000</f>
        <v>10.6</v>
      </c>
      <c r="G5" s="45">
        <f>'пр к ПП4'!J15/1000</f>
        <v>10.6</v>
      </c>
      <c r="H5" s="44">
        <f t="shared" ref="H5" si="0">SUM(E5:G5)</f>
        <v>31.799999999999997</v>
      </c>
      <c r="I5" s="79" t="s">
        <v>184</v>
      </c>
    </row>
    <row r="6" spans="1:9" ht="106.5" customHeight="1" x14ac:dyDescent="0.25">
      <c r="A6" s="444">
        <v>2</v>
      </c>
      <c r="B6" s="86" t="str">
        <f>'пр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45" t="s">
        <v>192</v>
      </c>
      <c r="D6" s="423" t="s">
        <v>183</v>
      </c>
      <c r="E6" s="83">
        <f>E7+E8</f>
        <v>1.734864</v>
      </c>
      <c r="F6" s="89">
        <f t="shared" ref="F6:H6" si="1">F7+F8</f>
        <v>0</v>
      </c>
      <c r="G6" s="89">
        <f t="shared" si="1"/>
        <v>0</v>
      </c>
      <c r="H6" s="83">
        <f t="shared" si="1"/>
        <v>1.734864</v>
      </c>
      <c r="I6" s="82"/>
    </row>
    <row r="7" spans="1:9" ht="25.5" x14ac:dyDescent="0.25">
      <c r="A7" s="444"/>
      <c r="B7" s="87" t="s">
        <v>244</v>
      </c>
      <c r="C7" s="445"/>
      <c r="D7" s="423"/>
      <c r="E7" s="75">
        <f>'пр к ПП4'!H17/1000</f>
        <v>3.4697199999999999E-3</v>
      </c>
      <c r="F7" s="89">
        <v>0</v>
      </c>
      <c r="G7" s="89">
        <v>0</v>
      </c>
      <c r="H7" s="75">
        <f>'пр к ПП4'!K17/1000</f>
        <v>3.4697199999999999E-3</v>
      </c>
      <c r="I7" s="75" t="s">
        <v>191</v>
      </c>
    </row>
    <row r="8" spans="1:9" ht="25.5" x14ac:dyDescent="0.25">
      <c r="A8" s="444"/>
      <c r="B8" s="88"/>
      <c r="C8" s="445"/>
      <c r="D8" s="423"/>
      <c r="E8" s="83">
        <f>'пр к ПП4'!H18/1000</f>
        <v>1.73139428</v>
      </c>
      <c r="F8" s="89">
        <v>0</v>
      </c>
      <c r="G8" s="89">
        <v>0</v>
      </c>
      <c r="H8" s="83">
        <f>'пр к ПП4'!K18/1000</f>
        <v>1.73139428</v>
      </c>
      <c r="I8" s="75" t="s">
        <v>184</v>
      </c>
    </row>
    <row r="9" spans="1:9" ht="25.5" x14ac:dyDescent="0.25">
      <c r="A9" s="47"/>
      <c r="B9" s="85" t="s">
        <v>217</v>
      </c>
      <c r="C9" s="47" t="s">
        <v>30</v>
      </c>
      <c r="D9" s="47" t="s">
        <v>30</v>
      </c>
      <c r="E9" s="49">
        <f>E5+E6</f>
        <v>12.334864</v>
      </c>
      <c r="F9" s="49">
        <f t="shared" ref="F9:H9" si="2">F5+F6</f>
        <v>10.6</v>
      </c>
      <c r="G9" s="49">
        <f t="shared" si="2"/>
        <v>10.6</v>
      </c>
      <c r="H9" s="49">
        <f t="shared" si="2"/>
        <v>33.534863999999999</v>
      </c>
      <c r="I9" s="47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26"/>
  <sheetViews>
    <sheetView view="pageBreakPreview" topLeftCell="A4" zoomScale="85" zoomScaleNormal="70" zoomScaleSheetLayoutView="85" workbookViewId="0">
      <selection activeCell="A4" sqref="A4:Q30"/>
    </sheetView>
  </sheetViews>
  <sheetFormatPr defaultColWidth="9" defaultRowHeight="15.75" x14ac:dyDescent="0.25"/>
  <cols>
    <col min="1" max="1" width="4.75" style="142" customWidth="1"/>
    <col min="2" max="2" width="43.5" style="143" customWidth="1"/>
    <col min="3" max="3" width="10.5" style="142" customWidth="1"/>
    <col min="4" max="4" width="14.875" style="143" customWidth="1"/>
    <col min="5" max="5" width="12.875" style="143" customWidth="1"/>
    <col min="6" max="6" width="14.375" style="143" customWidth="1"/>
    <col min="7" max="7" width="13" style="143" customWidth="1"/>
    <col min="8" max="8" width="12" style="143" customWidth="1"/>
    <col min="9" max="16384" width="9" style="143"/>
  </cols>
  <sheetData>
    <row r="1" spans="1:8" ht="81" hidden="1" customHeight="1" x14ac:dyDescent="0.25">
      <c r="F1" s="336"/>
      <c r="G1" s="336"/>
      <c r="H1" s="336"/>
    </row>
    <row r="2" spans="1:8" hidden="1" x14ac:dyDescent="0.25"/>
    <row r="3" spans="1:8" hidden="1" x14ac:dyDescent="0.25"/>
    <row r="4" spans="1:8" s="1" customFormat="1" ht="130.5" customHeight="1" x14ac:dyDescent="0.25">
      <c r="A4" s="2"/>
      <c r="C4" s="2"/>
      <c r="F4" s="337" t="s">
        <v>199</v>
      </c>
      <c r="G4" s="337"/>
      <c r="H4" s="337"/>
    </row>
    <row r="5" spans="1:8" s="1" customFormat="1" ht="18.75" x14ac:dyDescent="0.25">
      <c r="A5" s="224"/>
      <c r="C5" s="2"/>
    </row>
    <row r="6" spans="1:8" s="1" customFormat="1" ht="18.75" x14ac:dyDescent="0.25">
      <c r="A6" s="224"/>
      <c r="C6" s="2"/>
    </row>
    <row r="7" spans="1:8" s="1" customFormat="1" ht="18.75" x14ac:dyDescent="0.25">
      <c r="A7" s="339" t="s">
        <v>1</v>
      </c>
      <c r="B7" s="339"/>
      <c r="C7" s="339"/>
      <c r="D7" s="339"/>
      <c r="E7" s="339"/>
      <c r="F7" s="339"/>
      <c r="G7" s="339"/>
      <c r="H7" s="339"/>
    </row>
    <row r="8" spans="1:8" s="1" customFormat="1" ht="18.75" x14ac:dyDescent="0.25">
      <c r="A8" s="342" t="s">
        <v>96</v>
      </c>
      <c r="B8" s="339"/>
      <c r="C8" s="339"/>
      <c r="D8" s="339"/>
      <c r="E8" s="339"/>
      <c r="F8" s="339"/>
      <c r="G8" s="339"/>
      <c r="H8" s="339"/>
    </row>
    <row r="9" spans="1:8" s="1" customFormat="1" ht="36" customHeight="1" x14ac:dyDescent="0.25">
      <c r="A9" s="342" t="s">
        <v>95</v>
      </c>
      <c r="B9" s="339"/>
      <c r="C9" s="339"/>
      <c r="D9" s="339"/>
      <c r="E9" s="339"/>
      <c r="F9" s="339"/>
      <c r="G9" s="339"/>
      <c r="H9" s="339"/>
    </row>
    <row r="10" spans="1:8" s="1" customFormat="1" ht="13.5" customHeight="1" x14ac:dyDescent="0.25">
      <c r="A10" s="224"/>
      <c r="C10" s="2"/>
    </row>
    <row r="11" spans="1:8" s="1" customFormat="1" x14ac:dyDescent="0.25">
      <c r="A11" s="328" t="s">
        <v>19</v>
      </c>
      <c r="B11" s="328" t="s">
        <v>46</v>
      </c>
      <c r="C11" s="328" t="s">
        <v>2</v>
      </c>
      <c r="D11" s="328" t="s">
        <v>47</v>
      </c>
      <c r="E11" s="328" t="s">
        <v>48</v>
      </c>
      <c r="F11" s="328"/>
      <c r="G11" s="328"/>
      <c r="H11" s="328"/>
    </row>
    <row r="12" spans="1:8" s="1" customFormat="1" x14ac:dyDescent="0.25">
      <c r="A12" s="328"/>
      <c r="B12" s="328"/>
      <c r="C12" s="328"/>
      <c r="D12" s="328"/>
      <c r="E12" s="223">
        <v>2021</v>
      </c>
      <c r="F12" s="223">
        <v>2022</v>
      </c>
      <c r="G12" s="223">
        <v>2023</v>
      </c>
      <c r="H12" s="223">
        <v>2024</v>
      </c>
    </row>
    <row r="13" spans="1:8" s="1" customFormat="1" x14ac:dyDescent="0.25">
      <c r="A13" s="223">
        <v>1</v>
      </c>
      <c r="B13" s="223">
        <v>2</v>
      </c>
      <c r="C13" s="223">
        <v>3</v>
      </c>
      <c r="D13" s="223">
        <v>4</v>
      </c>
      <c r="E13" s="223">
        <v>5</v>
      </c>
      <c r="F13" s="223">
        <v>6</v>
      </c>
      <c r="G13" s="223">
        <v>7</v>
      </c>
      <c r="H13" s="223">
        <v>8</v>
      </c>
    </row>
    <row r="14" spans="1:8" s="1" customFormat="1" ht="50.25" customHeight="1" x14ac:dyDescent="0.25">
      <c r="A14" s="341" t="str">
        <f>'пр к ПП1'!A13:L13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41"/>
      <c r="C14" s="341"/>
      <c r="D14" s="341"/>
      <c r="E14" s="341"/>
      <c r="F14" s="341"/>
      <c r="G14" s="341"/>
      <c r="H14" s="341"/>
    </row>
    <row r="15" spans="1:8" s="1" customFormat="1" ht="33" customHeight="1" x14ac:dyDescent="0.25">
      <c r="A15" s="341" t="str">
        <f>'пр к ПП1'!A14:L14</f>
        <v>Задача 1. Улучшение технического состояния существующей улично-дорожной сети и автомобильных дорог местного значения.</v>
      </c>
      <c r="B15" s="341"/>
      <c r="C15" s="341"/>
      <c r="D15" s="341"/>
      <c r="E15" s="341"/>
      <c r="F15" s="341"/>
      <c r="G15" s="341"/>
      <c r="H15" s="341"/>
    </row>
    <row r="16" spans="1:8" ht="47.25" x14ac:dyDescent="0.25">
      <c r="A16" s="260" t="s">
        <v>3</v>
      </c>
      <c r="B16" s="133" t="s">
        <v>68</v>
      </c>
      <c r="C16" s="260" t="s">
        <v>69</v>
      </c>
      <c r="D16" s="260" t="s">
        <v>70</v>
      </c>
      <c r="E16" s="263">
        <v>4.1100000000000003</v>
      </c>
      <c r="F16" s="263">
        <v>4.1100000000000003</v>
      </c>
      <c r="G16" s="263">
        <v>4.1100000000000003</v>
      </c>
      <c r="H16" s="263">
        <v>4.1100000000000003</v>
      </c>
    </row>
    <row r="17" spans="1:11" s="1" customFormat="1" ht="47.25" x14ac:dyDescent="0.25">
      <c r="A17" s="220" t="s">
        <v>83</v>
      </c>
      <c r="B17" s="133" t="s">
        <v>71</v>
      </c>
      <c r="C17" s="220" t="s">
        <v>69</v>
      </c>
      <c r="D17" s="220" t="s">
        <v>72</v>
      </c>
      <c r="E17" s="254">
        <v>280</v>
      </c>
      <c r="F17" s="254">
        <v>280</v>
      </c>
      <c r="G17" s="254">
        <v>280</v>
      </c>
      <c r="H17" s="254">
        <v>280</v>
      </c>
    </row>
    <row r="18" spans="1:11" s="1" customFormat="1" ht="31.5" x14ac:dyDescent="0.25">
      <c r="A18" s="220" t="s">
        <v>85</v>
      </c>
      <c r="B18" s="133" t="s">
        <v>75</v>
      </c>
      <c r="C18" s="220" t="s">
        <v>73</v>
      </c>
      <c r="D18" s="220" t="s">
        <v>74</v>
      </c>
      <c r="E18" s="255">
        <v>1</v>
      </c>
      <c r="F18" s="255">
        <v>1</v>
      </c>
      <c r="G18" s="255">
        <v>1</v>
      </c>
      <c r="H18" s="255">
        <f t="shared" ref="H18" si="0">G18</f>
        <v>1</v>
      </c>
    </row>
    <row r="19" spans="1:11" ht="18.75" x14ac:dyDescent="0.25">
      <c r="A19" s="145"/>
    </row>
    <row r="20" spans="1:11" ht="18.75" x14ac:dyDescent="0.25">
      <c r="A20" s="145"/>
    </row>
    <row r="21" spans="1:11" ht="18.75" x14ac:dyDescent="0.25">
      <c r="A21" s="145"/>
    </row>
    <row r="22" spans="1:11" x14ac:dyDescent="0.25">
      <c r="K22" s="143">
        <v>3000</v>
      </c>
    </row>
    <row r="23" spans="1:11" x14ac:dyDescent="0.25">
      <c r="K23" s="143">
        <v>300</v>
      </c>
    </row>
    <row r="24" spans="1:11" x14ac:dyDescent="0.25">
      <c r="K24" s="143">
        <v>17650.099999999999</v>
      </c>
    </row>
    <row r="25" spans="1:11" x14ac:dyDescent="0.25">
      <c r="K25" s="143">
        <v>530</v>
      </c>
    </row>
    <row r="26" spans="1:11" x14ac:dyDescent="0.25">
      <c r="K26" s="143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47"/>
  <sheetViews>
    <sheetView view="pageBreakPreview" topLeftCell="A19" zoomScale="70" zoomScaleNormal="55" zoomScaleSheetLayoutView="70" workbookViewId="0">
      <selection activeCell="A4" sqref="A4:Q30"/>
    </sheetView>
  </sheetViews>
  <sheetFormatPr defaultColWidth="9" defaultRowHeight="18.75" outlineLevelRow="1" x14ac:dyDescent="0.25"/>
  <cols>
    <col min="1" max="1" width="4.75" style="156" customWidth="1"/>
    <col min="2" max="2" width="49.625" style="157" customWidth="1"/>
    <col min="3" max="3" width="25.125" style="157" customWidth="1"/>
    <col min="4" max="5" width="7.375" style="157" customWidth="1"/>
    <col min="6" max="6" width="17.75" style="157" customWidth="1"/>
    <col min="7" max="7" width="5.75" style="157" customWidth="1"/>
    <col min="8" max="8" width="16.875" style="8" bestFit="1" customWidth="1"/>
    <col min="9" max="10" width="16.875" style="157" bestFit="1" customWidth="1"/>
    <col min="11" max="11" width="20" style="157" customWidth="1"/>
    <col min="12" max="12" width="24.5" style="157" customWidth="1"/>
    <col min="13" max="13" width="57.625" style="157" customWidth="1"/>
    <col min="14" max="14" width="24" style="157" customWidth="1"/>
    <col min="15" max="16384" width="9" style="157"/>
  </cols>
  <sheetData>
    <row r="1" spans="1:12" ht="84" hidden="1" customHeight="1" outlineLevel="1" x14ac:dyDescent="0.3">
      <c r="K1" s="352" t="s">
        <v>245</v>
      </c>
      <c r="L1" s="352"/>
    </row>
    <row r="2" spans="1:12" hidden="1" outlineLevel="1" x14ac:dyDescent="0.25"/>
    <row r="3" spans="1:12" hidden="1" outlineLevel="1" x14ac:dyDescent="0.25"/>
    <row r="4" spans="1:12" ht="121.5" customHeight="1" collapsed="1" x14ac:dyDescent="0.25">
      <c r="A4" s="137"/>
      <c r="B4" s="8"/>
      <c r="C4" s="8"/>
      <c r="D4" s="8"/>
      <c r="E4" s="8"/>
      <c r="F4" s="8"/>
      <c r="G4" s="8"/>
      <c r="I4" s="8"/>
      <c r="J4" s="8"/>
      <c r="K4" s="353" t="s">
        <v>200</v>
      </c>
      <c r="L4" s="353"/>
    </row>
    <row r="5" spans="1:12" x14ac:dyDescent="0.25">
      <c r="A5" s="137"/>
      <c r="B5" s="8"/>
      <c r="C5" s="8"/>
      <c r="D5" s="8"/>
      <c r="E5" s="8"/>
      <c r="F5" s="8"/>
      <c r="G5" s="8"/>
      <c r="I5" s="8"/>
      <c r="J5" s="8"/>
      <c r="K5" s="8"/>
      <c r="L5" s="8"/>
    </row>
    <row r="6" spans="1:12" x14ac:dyDescent="0.25">
      <c r="A6" s="137"/>
      <c r="B6" s="8"/>
      <c r="C6" s="8"/>
      <c r="D6" s="8"/>
      <c r="E6" s="8"/>
      <c r="F6" s="8"/>
      <c r="G6" s="8"/>
      <c r="I6" s="8"/>
      <c r="J6" s="8"/>
      <c r="K6" s="8"/>
      <c r="L6" s="8"/>
    </row>
    <row r="7" spans="1:12" x14ac:dyDescent="0.25">
      <c r="A7" s="356" t="s">
        <v>1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</row>
    <row r="8" spans="1:12" x14ac:dyDescent="0.25">
      <c r="A8" s="356" t="s">
        <v>63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</row>
    <row r="9" spans="1:12" x14ac:dyDescent="0.25">
      <c r="A9" s="137"/>
      <c r="B9" s="8"/>
      <c r="C9" s="8"/>
      <c r="D9" s="8"/>
      <c r="E9" s="8"/>
      <c r="F9" s="8"/>
      <c r="G9" s="8"/>
      <c r="I9" s="8"/>
      <c r="J9" s="8"/>
      <c r="K9" s="8"/>
      <c r="L9" s="8"/>
    </row>
    <row r="10" spans="1:12" ht="42.75" customHeight="1" x14ac:dyDescent="0.25">
      <c r="A10" s="333" t="s">
        <v>19</v>
      </c>
      <c r="B10" s="333" t="s">
        <v>49</v>
      </c>
      <c r="C10" s="333" t="s">
        <v>220</v>
      </c>
      <c r="D10" s="333" t="s">
        <v>23</v>
      </c>
      <c r="E10" s="333"/>
      <c r="F10" s="333"/>
      <c r="G10" s="333"/>
      <c r="H10" s="333" t="s">
        <v>50</v>
      </c>
      <c r="I10" s="333"/>
      <c r="J10" s="333"/>
      <c r="K10" s="333"/>
      <c r="L10" s="333" t="s">
        <v>51</v>
      </c>
    </row>
    <row r="11" spans="1:12" ht="77.25" customHeight="1" x14ac:dyDescent="0.25">
      <c r="A11" s="333"/>
      <c r="B11" s="333"/>
      <c r="C11" s="333"/>
      <c r="D11" s="134" t="s">
        <v>25</v>
      </c>
      <c r="E11" s="134" t="s">
        <v>26</v>
      </c>
      <c r="F11" s="134" t="s">
        <v>27</v>
      </c>
      <c r="G11" s="134" t="s">
        <v>28</v>
      </c>
      <c r="H11" s="310">
        <v>2022</v>
      </c>
      <c r="I11" s="141">
        <v>2023</v>
      </c>
      <c r="J11" s="141">
        <v>2024</v>
      </c>
      <c r="K11" s="134" t="s">
        <v>52</v>
      </c>
      <c r="L11" s="333"/>
    </row>
    <row r="12" spans="1:12" x14ac:dyDescent="0.25">
      <c r="A12" s="134">
        <v>1</v>
      </c>
      <c r="B12" s="134">
        <v>2</v>
      </c>
      <c r="C12" s="134">
        <v>3</v>
      </c>
      <c r="D12" s="134">
        <v>4</v>
      </c>
      <c r="E12" s="134">
        <v>5</v>
      </c>
      <c r="F12" s="134">
        <v>6</v>
      </c>
      <c r="G12" s="134">
        <v>7</v>
      </c>
      <c r="H12" s="309">
        <v>8</v>
      </c>
      <c r="I12" s="134">
        <v>9</v>
      </c>
      <c r="J12" s="134">
        <v>10</v>
      </c>
      <c r="K12" s="134">
        <v>11</v>
      </c>
      <c r="L12" s="134">
        <v>12</v>
      </c>
    </row>
    <row r="13" spans="1:12" s="158" customFormat="1" ht="41.25" customHeight="1" x14ac:dyDescent="0.25">
      <c r="A13" s="349" t="s">
        <v>165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</row>
    <row r="14" spans="1:12" s="158" customFormat="1" ht="19.5" customHeight="1" x14ac:dyDescent="0.25">
      <c r="A14" s="349" t="s">
        <v>166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</row>
    <row r="15" spans="1:12" ht="63" x14ac:dyDescent="0.25">
      <c r="A15" s="350" t="s">
        <v>3</v>
      </c>
      <c r="B15" s="346" t="s">
        <v>325</v>
      </c>
      <c r="C15" s="132" t="s">
        <v>66</v>
      </c>
      <c r="D15" s="134">
        <v>247</v>
      </c>
      <c r="E15" s="134" t="s">
        <v>62</v>
      </c>
      <c r="F15" s="59" t="s">
        <v>332</v>
      </c>
      <c r="G15" s="244">
        <v>540</v>
      </c>
      <c r="H15" s="322">
        <v>29634.3</v>
      </c>
      <c r="I15" s="115">
        <v>29634.3</v>
      </c>
      <c r="J15" s="115">
        <v>29634.3</v>
      </c>
      <c r="K15" s="127">
        <f t="shared" ref="K15:K23" si="0">SUM(H15:J15)</f>
        <v>88902.9</v>
      </c>
      <c r="L15" s="343" t="s">
        <v>133</v>
      </c>
    </row>
    <row r="16" spans="1:12" x14ac:dyDescent="0.25">
      <c r="A16" s="351"/>
      <c r="B16" s="348"/>
      <c r="C16" s="117" t="s">
        <v>258</v>
      </c>
      <c r="D16" s="56" t="s">
        <v>30</v>
      </c>
      <c r="E16" s="56" t="s">
        <v>30</v>
      </c>
      <c r="F16" s="56" t="s">
        <v>30</v>
      </c>
      <c r="G16" s="52" t="s">
        <v>30</v>
      </c>
      <c r="H16" s="57">
        <f t="shared" ref="H16" si="1">H15</f>
        <v>29634.3</v>
      </c>
      <c r="I16" s="57">
        <f t="shared" ref="I16:J16" si="2">I15</f>
        <v>29634.3</v>
      </c>
      <c r="J16" s="57">
        <f t="shared" si="2"/>
        <v>29634.3</v>
      </c>
      <c r="K16" s="57">
        <f t="shared" si="0"/>
        <v>88902.9</v>
      </c>
      <c r="L16" s="344"/>
    </row>
    <row r="17" spans="1:18" ht="63" x14ac:dyDescent="0.25">
      <c r="A17" s="350" t="s">
        <v>83</v>
      </c>
      <c r="B17" s="346" t="s">
        <v>326</v>
      </c>
      <c r="C17" s="132" t="s">
        <v>66</v>
      </c>
      <c r="D17" s="134">
        <v>247</v>
      </c>
      <c r="E17" s="134" t="s">
        <v>62</v>
      </c>
      <c r="F17" s="59" t="s">
        <v>333</v>
      </c>
      <c r="G17" s="244">
        <v>540</v>
      </c>
      <c r="H17" s="322">
        <v>21630.7</v>
      </c>
      <c r="I17" s="115">
        <v>0</v>
      </c>
      <c r="J17" s="115">
        <v>0</v>
      </c>
      <c r="K17" s="127">
        <f t="shared" si="0"/>
        <v>21630.7</v>
      </c>
      <c r="L17" s="344"/>
    </row>
    <row r="18" spans="1:18" x14ac:dyDescent="0.25">
      <c r="A18" s="351"/>
      <c r="B18" s="348"/>
      <c r="C18" s="117" t="s">
        <v>258</v>
      </c>
      <c r="D18" s="56" t="s">
        <v>30</v>
      </c>
      <c r="E18" s="56" t="s">
        <v>30</v>
      </c>
      <c r="F18" s="56" t="s">
        <v>30</v>
      </c>
      <c r="G18" s="56" t="s">
        <v>30</v>
      </c>
      <c r="H18" s="57">
        <f t="shared" ref="H18" si="3">H17</f>
        <v>21630.7</v>
      </c>
      <c r="I18" s="57">
        <f t="shared" ref="I18:J18" si="4">I17</f>
        <v>0</v>
      </c>
      <c r="J18" s="57">
        <f t="shared" si="4"/>
        <v>0</v>
      </c>
      <c r="K18" s="57">
        <f t="shared" si="0"/>
        <v>21630.7</v>
      </c>
      <c r="L18" s="345"/>
      <c r="N18" s="157">
        <v>2019</v>
      </c>
      <c r="O18" s="157">
        <v>2020</v>
      </c>
      <c r="P18" s="157">
        <v>21</v>
      </c>
      <c r="Q18" s="157">
        <v>22</v>
      </c>
      <c r="R18" s="157">
        <v>23</v>
      </c>
    </row>
    <row r="19" spans="1:18" ht="47.25" customHeight="1" x14ac:dyDescent="0.25">
      <c r="A19" s="343" t="s">
        <v>85</v>
      </c>
      <c r="B19" s="346" t="s">
        <v>106</v>
      </c>
      <c r="C19" s="132" t="s">
        <v>94</v>
      </c>
      <c r="D19" s="134">
        <v>242</v>
      </c>
      <c r="E19" s="333" t="s">
        <v>62</v>
      </c>
      <c r="F19" s="354" t="s">
        <v>260</v>
      </c>
      <c r="G19" s="333">
        <v>244</v>
      </c>
      <c r="H19" s="322">
        <v>9904.98</v>
      </c>
      <c r="I19" s="115">
        <v>1650.83</v>
      </c>
      <c r="J19" s="115">
        <v>1650.83</v>
      </c>
      <c r="K19" s="33">
        <f t="shared" si="0"/>
        <v>13206.64</v>
      </c>
      <c r="L19" s="343" t="s">
        <v>133</v>
      </c>
      <c r="M19" s="157" t="s">
        <v>317</v>
      </c>
      <c r="N19" s="157">
        <v>4174.3</v>
      </c>
      <c r="O19" s="157">
        <v>1650.8</v>
      </c>
      <c r="P19" s="157">
        <v>1650.8</v>
      </c>
      <c r="Q19" s="157">
        <v>1650.8</v>
      </c>
      <c r="R19" s="157">
        <v>1650.8</v>
      </c>
    </row>
    <row r="20" spans="1:18" ht="63" x14ac:dyDescent="0.25">
      <c r="A20" s="344"/>
      <c r="B20" s="347"/>
      <c r="C20" s="132" t="s">
        <v>66</v>
      </c>
      <c r="D20" s="134">
        <v>247</v>
      </c>
      <c r="E20" s="333"/>
      <c r="F20" s="355"/>
      <c r="G20" s="333"/>
      <c r="H20" s="322">
        <v>4400</v>
      </c>
      <c r="I20" s="115">
        <v>4000</v>
      </c>
      <c r="J20" s="115">
        <v>4000</v>
      </c>
      <c r="K20" s="127">
        <f>SUM(H20:J20)</f>
        <v>12400</v>
      </c>
      <c r="L20" s="344"/>
      <c r="N20" s="160"/>
    </row>
    <row r="21" spans="1:18" x14ac:dyDescent="0.25">
      <c r="A21" s="345"/>
      <c r="B21" s="348"/>
      <c r="C21" s="117" t="s">
        <v>258</v>
      </c>
      <c r="D21" s="56" t="s">
        <v>30</v>
      </c>
      <c r="E21" s="56" t="s">
        <v>30</v>
      </c>
      <c r="F21" s="56" t="s">
        <v>30</v>
      </c>
      <c r="G21" s="56" t="s">
        <v>30</v>
      </c>
      <c r="H21" s="57">
        <f>H19+H20</f>
        <v>14304.98</v>
      </c>
      <c r="I21" s="57">
        <f t="shared" ref="I21:J21" si="5">I19+I20</f>
        <v>5650.83</v>
      </c>
      <c r="J21" s="57">
        <f t="shared" si="5"/>
        <v>5650.83</v>
      </c>
      <c r="K21" s="57">
        <f t="shared" si="0"/>
        <v>25606.639999999999</v>
      </c>
      <c r="L21" s="345"/>
      <c r="N21" s="160"/>
    </row>
    <row r="22" spans="1:18" s="161" customFormat="1" ht="70.5" customHeight="1" x14ac:dyDescent="0.25">
      <c r="A22" s="343" t="s">
        <v>86</v>
      </c>
      <c r="B22" s="346" t="s">
        <v>107</v>
      </c>
      <c r="C22" s="132" t="s">
        <v>66</v>
      </c>
      <c r="D22" s="134">
        <v>247</v>
      </c>
      <c r="E22" s="134" t="s">
        <v>62</v>
      </c>
      <c r="F22" s="59" t="s">
        <v>261</v>
      </c>
      <c r="G22" s="134">
        <v>540</v>
      </c>
      <c r="H22" s="322">
        <v>2638.7550000000001</v>
      </c>
      <c r="I22" s="115">
        <v>2638.7550000000001</v>
      </c>
      <c r="J22" s="115">
        <v>2638.7550000000001</v>
      </c>
      <c r="K22" s="127">
        <f t="shared" si="0"/>
        <v>7916.2650000000003</v>
      </c>
      <c r="L22" s="343" t="s">
        <v>132</v>
      </c>
      <c r="N22" s="162" t="e">
        <f>H15+H17+H24</f>
        <v>#VALUE!</v>
      </c>
    </row>
    <row r="23" spans="1:18" s="161" customFormat="1" x14ac:dyDescent="0.25">
      <c r="A23" s="345"/>
      <c r="B23" s="348"/>
      <c r="C23" s="117" t="s">
        <v>258</v>
      </c>
      <c r="D23" s="56" t="s">
        <v>30</v>
      </c>
      <c r="E23" s="56" t="s">
        <v>30</v>
      </c>
      <c r="F23" s="56" t="s">
        <v>30</v>
      </c>
      <c r="G23" s="56" t="s">
        <v>30</v>
      </c>
      <c r="H23" s="57">
        <f t="shared" ref="H23" si="6">H22</f>
        <v>2638.7550000000001</v>
      </c>
      <c r="I23" s="57">
        <f t="shared" ref="I23:J23" si="7">I22</f>
        <v>2638.7550000000001</v>
      </c>
      <c r="J23" s="57">
        <f t="shared" si="7"/>
        <v>2638.7550000000001</v>
      </c>
      <c r="K23" s="57">
        <f t="shared" si="0"/>
        <v>7916.2650000000003</v>
      </c>
      <c r="L23" s="345"/>
      <c r="N23" s="162" t="e">
        <f>H19+H20+H22+H25+H29+H33</f>
        <v>#VALUE!</v>
      </c>
    </row>
    <row r="24" spans="1:18" s="161" customFormat="1" ht="34.5" customHeight="1" x14ac:dyDescent="0.25">
      <c r="A24" s="343" t="s">
        <v>239</v>
      </c>
      <c r="B24" s="346" t="s">
        <v>266</v>
      </c>
      <c r="C24" s="346" t="s">
        <v>66</v>
      </c>
      <c r="D24" s="343">
        <v>247</v>
      </c>
      <c r="E24" s="343" t="s">
        <v>62</v>
      </c>
      <c r="F24" s="59" t="s">
        <v>267</v>
      </c>
      <c r="G24" s="343">
        <v>244</v>
      </c>
      <c r="H24" s="128" t="s">
        <v>320</v>
      </c>
      <c r="I24" s="32">
        <v>0</v>
      </c>
      <c r="J24" s="128">
        <v>0</v>
      </c>
      <c r="K24" s="128">
        <f t="shared" ref="K24:K27" si="8">SUM(H24:J24)</f>
        <v>0</v>
      </c>
      <c r="L24" s="343" t="s">
        <v>133</v>
      </c>
      <c r="N24" s="162" t="e">
        <f>N23+N22</f>
        <v>#VALUE!</v>
      </c>
    </row>
    <row r="25" spans="1:18" s="161" customFormat="1" ht="34.5" customHeight="1" x14ac:dyDescent="0.25">
      <c r="A25" s="344"/>
      <c r="B25" s="347"/>
      <c r="C25" s="347"/>
      <c r="D25" s="344"/>
      <c r="E25" s="344"/>
      <c r="F25" s="59" t="s">
        <v>268</v>
      </c>
      <c r="G25" s="344"/>
      <c r="H25" s="128" t="s">
        <v>320</v>
      </c>
      <c r="I25" s="32">
        <v>0</v>
      </c>
      <c r="J25" s="128">
        <v>0</v>
      </c>
      <c r="K25" s="128">
        <f t="shared" si="8"/>
        <v>0</v>
      </c>
      <c r="L25" s="344"/>
    </row>
    <row r="26" spans="1:18" s="161" customFormat="1" ht="34.5" customHeight="1" x14ac:dyDescent="0.25">
      <c r="A26" s="344"/>
      <c r="B26" s="347"/>
      <c r="C26" s="347"/>
      <c r="D26" s="344"/>
      <c r="E26" s="344"/>
      <c r="F26" s="59" t="s">
        <v>322</v>
      </c>
      <c r="G26" s="344"/>
      <c r="H26" s="322">
        <v>19900</v>
      </c>
      <c r="I26" s="32">
        <v>0</v>
      </c>
      <c r="J26" s="32">
        <v>0</v>
      </c>
      <c r="K26" s="33">
        <f t="shared" si="8"/>
        <v>19900</v>
      </c>
      <c r="L26" s="344"/>
    </row>
    <row r="27" spans="1:18" s="161" customFormat="1" ht="34.5" customHeight="1" x14ac:dyDescent="0.25">
      <c r="A27" s="344"/>
      <c r="B27" s="347"/>
      <c r="C27" s="348"/>
      <c r="D27" s="345"/>
      <c r="E27" s="345"/>
      <c r="F27" s="59" t="s">
        <v>321</v>
      </c>
      <c r="G27" s="345"/>
      <c r="H27" s="323">
        <v>79</v>
      </c>
      <c r="I27" s="32"/>
      <c r="J27" s="32"/>
      <c r="K27" s="33">
        <f t="shared" si="8"/>
        <v>79</v>
      </c>
      <c r="L27" s="344"/>
    </row>
    <row r="28" spans="1:18" s="161" customFormat="1" x14ac:dyDescent="0.25">
      <c r="A28" s="345"/>
      <c r="B28" s="348"/>
      <c r="C28" s="117" t="s">
        <v>258</v>
      </c>
      <c r="D28" s="56" t="s">
        <v>30</v>
      </c>
      <c r="E28" s="56" t="s">
        <v>30</v>
      </c>
      <c r="F28" s="56" t="s">
        <v>30</v>
      </c>
      <c r="G28" s="56" t="s">
        <v>30</v>
      </c>
      <c r="H28" s="57">
        <f>SUM(H24:H27)</f>
        <v>19979</v>
      </c>
      <c r="I28" s="57">
        <f t="shared" ref="I28:J28" si="9">SUM(I24:I25)</f>
        <v>0</v>
      </c>
      <c r="J28" s="57">
        <f t="shared" si="9"/>
        <v>0</v>
      </c>
      <c r="K28" s="57">
        <f>SUM(K24:K27)</f>
        <v>19979</v>
      </c>
      <c r="L28" s="345"/>
    </row>
    <row r="29" spans="1:18" s="161" customFormat="1" ht="71.25" customHeight="1" x14ac:dyDescent="0.25">
      <c r="A29" s="343" t="s">
        <v>257</v>
      </c>
      <c r="B29" s="346" t="s">
        <v>265</v>
      </c>
      <c r="C29" s="132" t="s">
        <v>66</v>
      </c>
      <c r="D29" s="134">
        <v>247</v>
      </c>
      <c r="E29" s="134" t="s">
        <v>62</v>
      </c>
      <c r="F29" s="59" t="s">
        <v>262</v>
      </c>
      <c r="G29" s="134">
        <v>244</v>
      </c>
      <c r="H29" s="322">
        <v>32350</v>
      </c>
      <c r="I29" s="115">
        <v>32350</v>
      </c>
      <c r="J29" s="115">
        <v>32350</v>
      </c>
      <c r="K29" s="127">
        <f t="shared" ref="K29:K30" si="10">SUM(H29:J29)</f>
        <v>97050</v>
      </c>
      <c r="L29" s="343" t="s">
        <v>259</v>
      </c>
    </row>
    <row r="30" spans="1:18" s="161" customFormat="1" x14ac:dyDescent="0.25">
      <c r="A30" s="345"/>
      <c r="B30" s="348"/>
      <c r="C30" s="117" t="s">
        <v>258</v>
      </c>
      <c r="D30" s="56" t="s">
        <v>30</v>
      </c>
      <c r="E30" s="56" t="s">
        <v>30</v>
      </c>
      <c r="F30" s="56" t="s">
        <v>30</v>
      </c>
      <c r="G30" s="56" t="s">
        <v>30</v>
      </c>
      <c r="H30" s="57">
        <f t="shared" ref="H30:J30" si="11">H29</f>
        <v>32350</v>
      </c>
      <c r="I30" s="57">
        <f t="shared" si="11"/>
        <v>32350</v>
      </c>
      <c r="J30" s="57">
        <f t="shared" si="11"/>
        <v>32350</v>
      </c>
      <c r="K30" s="57">
        <f t="shared" si="10"/>
        <v>97050</v>
      </c>
      <c r="L30" s="345"/>
    </row>
    <row r="31" spans="1:18" s="161" customFormat="1" ht="69.75" customHeight="1" outlineLevel="1" x14ac:dyDescent="0.25">
      <c r="A31" s="343" t="s">
        <v>264</v>
      </c>
      <c r="B31" s="346" t="s">
        <v>263</v>
      </c>
      <c r="C31" s="132" t="s">
        <v>66</v>
      </c>
      <c r="D31" s="134">
        <v>247</v>
      </c>
      <c r="E31" s="134" t="s">
        <v>62</v>
      </c>
      <c r="F31" s="119"/>
      <c r="G31" s="134">
        <v>244</v>
      </c>
      <c r="H31" s="32">
        <v>0</v>
      </c>
      <c r="I31" s="32">
        <v>0</v>
      </c>
      <c r="J31" s="32">
        <v>0</v>
      </c>
      <c r="K31" s="33">
        <f t="shared" ref="K31:K32" si="12">SUM(H31:J31)</f>
        <v>0</v>
      </c>
      <c r="L31" s="163"/>
    </row>
    <row r="32" spans="1:18" s="161" customFormat="1" outlineLevel="1" x14ac:dyDescent="0.25">
      <c r="A32" s="345"/>
      <c r="B32" s="348"/>
      <c r="C32" s="117" t="s">
        <v>258</v>
      </c>
      <c r="D32" s="56" t="s">
        <v>30</v>
      </c>
      <c r="E32" s="56" t="s">
        <v>30</v>
      </c>
      <c r="F32" s="56" t="s">
        <v>30</v>
      </c>
      <c r="G32" s="56" t="s">
        <v>30</v>
      </c>
      <c r="H32" s="57">
        <f t="shared" ref="H32:J32" si="13">H31</f>
        <v>0</v>
      </c>
      <c r="I32" s="57">
        <f t="shared" si="13"/>
        <v>0</v>
      </c>
      <c r="J32" s="57">
        <f t="shared" si="13"/>
        <v>0</v>
      </c>
      <c r="K32" s="57">
        <f t="shared" si="12"/>
        <v>0</v>
      </c>
      <c r="L32" s="163"/>
    </row>
    <row r="33" spans="1:12" s="161" customFormat="1" ht="63" customHeight="1" outlineLevel="1" x14ac:dyDescent="0.25">
      <c r="A33" s="135" t="s">
        <v>287</v>
      </c>
      <c r="B33" s="118" t="s">
        <v>293</v>
      </c>
      <c r="C33" s="211" t="s">
        <v>66</v>
      </c>
      <c r="D33" s="119" t="s">
        <v>286</v>
      </c>
      <c r="E33" s="119" t="s">
        <v>62</v>
      </c>
      <c r="F33" s="119" t="s">
        <v>294</v>
      </c>
      <c r="G33" s="119" t="s">
        <v>284</v>
      </c>
      <c r="H33" s="322">
        <v>6600</v>
      </c>
      <c r="I33" s="115">
        <v>0</v>
      </c>
      <c r="J33" s="115">
        <v>0</v>
      </c>
      <c r="K33" s="115">
        <f>H33+I33+J33</f>
        <v>6600</v>
      </c>
      <c r="L33" s="163"/>
    </row>
    <row r="34" spans="1:12" s="161" customFormat="1" outlineLevel="1" x14ac:dyDescent="0.25">
      <c r="A34" s="135"/>
      <c r="B34" s="136"/>
      <c r="C34" s="56" t="s">
        <v>258</v>
      </c>
      <c r="D34" s="56" t="s">
        <v>30</v>
      </c>
      <c r="E34" s="56" t="s">
        <v>30</v>
      </c>
      <c r="F34" s="56" t="s">
        <v>30</v>
      </c>
      <c r="G34" s="56" t="s">
        <v>30</v>
      </c>
      <c r="H34" s="57">
        <f>H33</f>
        <v>6600</v>
      </c>
      <c r="I34" s="57">
        <f>I33</f>
        <v>0</v>
      </c>
      <c r="J34" s="57">
        <f>J33</f>
        <v>0</v>
      </c>
      <c r="K34" s="57">
        <f t="shared" ref="K34" si="14">SUM(H34:J34)</f>
        <v>6600</v>
      </c>
      <c r="L34" s="163"/>
    </row>
    <row r="35" spans="1:12" s="165" customFormat="1" x14ac:dyDescent="0.25">
      <c r="A35" s="53"/>
      <c r="B35" s="54" t="s">
        <v>119</v>
      </c>
      <c r="C35" s="53" t="s">
        <v>30</v>
      </c>
      <c r="D35" s="53" t="s">
        <v>30</v>
      </c>
      <c r="E35" s="53" t="s">
        <v>30</v>
      </c>
      <c r="F35" s="53" t="s">
        <v>30</v>
      </c>
      <c r="G35" s="53" t="s">
        <v>30</v>
      </c>
      <c r="H35" s="55">
        <f>H16+H18+H21+H23+H30+H34+H28</f>
        <v>127137.735</v>
      </c>
      <c r="I35" s="55">
        <f>I16+I18+I21+I23+I28+I30+I32+I34</f>
        <v>70273.884999999995</v>
      </c>
      <c r="J35" s="55">
        <f>J16+J18+J21+J23+J28+J30+J32+J34</f>
        <v>70273.884999999995</v>
      </c>
      <c r="K35" s="55">
        <f>K16+K18+K21+K23+K28+K30+K32+K34</f>
        <v>267685.505</v>
      </c>
      <c r="L35" s="53" t="s">
        <v>30</v>
      </c>
    </row>
    <row r="36" spans="1:12" s="161" customFormat="1" x14ac:dyDescent="0.25">
      <c r="A36" s="166"/>
      <c r="H36" s="10"/>
    </row>
    <row r="37" spans="1:12" x14ac:dyDescent="0.25">
      <c r="H37" s="245">
        <f>H16+H21+H23+H30</f>
        <v>78928.035000000003</v>
      </c>
    </row>
    <row r="38" spans="1:12" x14ac:dyDescent="0.25">
      <c r="H38" s="245">
        <f>60677.285-H35</f>
        <v>-66460.45</v>
      </c>
    </row>
    <row r="40" spans="1:12" x14ac:dyDescent="0.25">
      <c r="H40" s="14"/>
      <c r="I40" s="167"/>
      <c r="J40" s="167"/>
      <c r="K40" s="167"/>
    </row>
    <row r="41" spans="1:12" x14ac:dyDescent="0.25">
      <c r="H41" s="14"/>
      <c r="I41" s="167"/>
      <c r="J41" s="167"/>
      <c r="K41" s="167"/>
    </row>
    <row r="42" spans="1:12" x14ac:dyDescent="0.25">
      <c r="H42" s="14"/>
      <c r="I42" s="167"/>
      <c r="J42" s="167"/>
      <c r="K42" s="167"/>
    </row>
    <row r="43" spans="1:12" x14ac:dyDescent="0.25">
      <c r="H43" s="14"/>
      <c r="I43" s="167"/>
      <c r="J43" s="167"/>
      <c r="K43" s="167"/>
    </row>
    <row r="44" spans="1:12" x14ac:dyDescent="0.25">
      <c r="H44" s="246"/>
      <c r="I44" s="168"/>
      <c r="J44" s="168"/>
      <c r="K44" s="168"/>
    </row>
    <row r="45" spans="1:12" x14ac:dyDescent="0.25">
      <c r="H45" s="14"/>
      <c r="I45" s="167"/>
      <c r="J45" s="167"/>
      <c r="K45" s="167"/>
    </row>
    <row r="46" spans="1:12" x14ac:dyDescent="0.25">
      <c r="H46" s="14"/>
      <c r="I46" s="167"/>
      <c r="J46" s="167"/>
      <c r="K46" s="167"/>
    </row>
    <row r="47" spans="1:12" x14ac:dyDescent="0.25">
      <c r="H47" s="14"/>
      <c r="I47" s="167"/>
      <c r="J47" s="167"/>
      <c r="K47" s="167"/>
    </row>
  </sheetData>
  <mergeCells count="38">
    <mergeCell ref="A31:A32"/>
    <mergeCell ref="B31:B32"/>
    <mergeCell ref="A29:A30"/>
    <mergeCell ref="B29:B30"/>
    <mergeCell ref="G24:G27"/>
    <mergeCell ref="D24:D27"/>
    <mergeCell ref="E24:E27"/>
    <mergeCell ref="C24:C27"/>
    <mergeCell ref="L29:L30"/>
    <mergeCell ref="A24:A28"/>
    <mergeCell ref="B24:B28"/>
    <mergeCell ref="L24:L28"/>
    <mergeCell ref="K1:L1"/>
    <mergeCell ref="K4:L4"/>
    <mergeCell ref="G19:G20"/>
    <mergeCell ref="E19:E20"/>
    <mergeCell ref="F19:F20"/>
    <mergeCell ref="A7:L7"/>
    <mergeCell ref="A8:L8"/>
    <mergeCell ref="A10:A11"/>
    <mergeCell ref="B10:B11"/>
    <mergeCell ref="C10:C11"/>
    <mergeCell ref="D10:G10"/>
    <mergeCell ref="H10:K10"/>
    <mergeCell ref="L10:L11"/>
    <mergeCell ref="A14:L14"/>
    <mergeCell ref="A13:L13"/>
    <mergeCell ref="B15:B16"/>
    <mergeCell ref="A15:A16"/>
    <mergeCell ref="L15:L18"/>
    <mergeCell ref="B17:B18"/>
    <mergeCell ref="A17:A18"/>
    <mergeCell ref="L19:L21"/>
    <mergeCell ref="L22:L23"/>
    <mergeCell ref="B19:B21"/>
    <mergeCell ref="A19:A21"/>
    <mergeCell ref="B22:B23"/>
    <mergeCell ref="A22:A23"/>
  </mergeCells>
  <pageMargins left="0.78740157480314965" right="0.78740157480314965" top="1.1811023622047245" bottom="0.39370078740157483" header="0.31496062992125984" footer="0.31496062992125984"/>
  <pageSetup paperSize="9" scale="56" fitToHeight="0" orientation="landscape" r:id="rId1"/>
  <rowBreaks count="1" manualBreakCount="1">
    <brk id="2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31"/>
  <sheetViews>
    <sheetView view="pageBreakPreview" zoomScaleNormal="70" zoomScaleSheetLayoutView="100" workbookViewId="0">
      <selection sqref="A1:H31"/>
    </sheetView>
  </sheetViews>
  <sheetFormatPr defaultColWidth="9" defaultRowHeight="15.75" outlineLevelRow="1" x14ac:dyDescent="0.25"/>
  <cols>
    <col min="1" max="1" width="5.375" style="142" customWidth="1"/>
    <col min="2" max="2" width="55.875" style="143" customWidth="1"/>
    <col min="3" max="3" width="12.75" style="142" customWidth="1"/>
    <col min="4" max="4" width="25.375" style="143" customWidth="1"/>
    <col min="5" max="5" width="13.875" style="143" customWidth="1"/>
    <col min="6" max="8" width="12.25" style="143" customWidth="1"/>
    <col min="9" max="16384" width="9" style="143"/>
  </cols>
  <sheetData>
    <row r="1" spans="1:8" ht="86.25" customHeight="1" outlineLevel="1" x14ac:dyDescent="0.25">
      <c r="E1" s="357" t="s">
        <v>362</v>
      </c>
      <c r="F1" s="357"/>
      <c r="G1" s="357"/>
      <c r="H1" s="357"/>
    </row>
    <row r="2" spans="1:8" ht="9.75" customHeight="1" outlineLevel="1" x14ac:dyDescent="0.3">
      <c r="E2" s="193"/>
      <c r="F2" s="193"/>
      <c r="G2" s="193"/>
      <c r="H2" s="193"/>
    </row>
    <row r="3" spans="1:8" ht="11.25" customHeight="1" outlineLevel="1" x14ac:dyDescent="0.3">
      <c r="E3" s="193"/>
      <c r="F3" s="193"/>
      <c r="G3" s="193"/>
      <c r="H3" s="193"/>
    </row>
    <row r="4" spans="1:8" s="1" customFormat="1" ht="75" customHeight="1" x14ac:dyDescent="0.25">
      <c r="A4" s="2"/>
      <c r="C4" s="2"/>
      <c r="E4" s="337" t="s">
        <v>201</v>
      </c>
      <c r="F4" s="337"/>
      <c r="G4" s="337"/>
      <c r="H4" s="337"/>
    </row>
    <row r="5" spans="1:8" s="1" customFormat="1" ht="9.75" customHeight="1" x14ac:dyDescent="0.25">
      <c r="A5" s="224"/>
      <c r="C5" s="2"/>
    </row>
    <row r="6" spans="1:8" s="1" customFormat="1" ht="18.75" x14ac:dyDescent="0.25">
      <c r="A6" s="224"/>
      <c r="C6" s="2"/>
    </row>
    <row r="7" spans="1:8" s="1" customFormat="1" ht="18.75" x14ac:dyDescent="0.25">
      <c r="A7" s="339" t="s">
        <v>1</v>
      </c>
      <c r="B7" s="339"/>
      <c r="C7" s="339"/>
      <c r="D7" s="339"/>
      <c r="E7" s="339"/>
      <c r="F7" s="339"/>
      <c r="G7" s="339"/>
      <c r="H7" s="339"/>
    </row>
    <row r="8" spans="1:8" s="1" customFormat="1" ht="48" customHeight="1" x14ac:dyDescent="0.25">
      <c r="A8" s="342" t="s">
        <v>76</v>
      </c>
      <c r="B8" s="339"/>
      <c r="C8" s="339"/>
      <c r="D8" s="339"/>
      <c r="E8" s="339"/>
      <c r="F8" s="339"/>
      <c r="G8" s="339"/>
      <c r="H8" s="339"/>
    </row>
    <row r="9" spans="1:8" s="1" customFormat="1" ht="17.25" x14ac:dyDescent="0.25">
      <c r="A9" s="286"/>
      <c r="B9" s="287"/>
      <c r="C9" s="288"/>
      <c r="D9" s="287"/>
      <c r="E9" s="287"/>
      <c r="F9" s="287"/>
      <c r="G9" s="287"/>
      <c r="H9" s="287"/>
    </row>
    <row r="10" spans="1:8" s="1" customFormat="1" ht="17.25" x14ac:dyDescent="0.25">
      <c r="A10" s="364" t="s">
        <v>19</v>
      </c>
      <c r="B10" s="364" t="s">
        <v>46</v>
      </c>
      <c r="C10" s="364" t="s">
        <v>2</v>
      </c>
      <c r="D10" s="364" t="s">
        <v>47</v>
      </c>
      <c r="E10" s="364" t="s">
        <v>48</v>
      </c>
      <c r="F10" s="364"/>
      <c r="G10" s="364"/>
      <c r="H10" s="364"/>
    </row>
    <row r="11" spans="1:8" s="1" customFormat="1" ht="17.25" x14ac:dyDescent="0.25">
      <c r="A11" s="364"/>
      <c r="B11" s="364"/>
      <c r="C11" s="364"/>
      <c r="D11" s="364"/>
      <c r="E11" s="289">
        <v>2022</v>
      </c>
      <c r="F11" s="289">
        <f>E11+1</f>
        <v>2023</v>
      </c>
      <c r="G11" s="289">
        <f>F11+1</f>
        <v>2024</v>
      </c>
      <c r="H11" s="289">
        <f>G11+1</f>
        <v>2025</v>
      </c>
    </row>
    <row r="12" spans="1:8" s="1" customFormat="1" ht="17.25" x14ac:dyDescent="0.25">
      <c r="A12" s="289">
        <v>1</v>
      </c>
      <c r="B12" s="289">
        <v>2</v>
      </c>
      <c r="C12" s="289">
        <v>3</v>
      </c>
      <c r="D12" s="289">
        <v>4</v>
      </c>
      <c r="E12" s="289">
        <v>5</v>
      </c>
      <c r="F12" s="289">
        <v>6</v>
      </c>
      <c r="G12" s="289">
        <v>7</v>
      </c>
      <c r="H12" s="289">
        <v>8</v>
      </c>
    </row>
    <row r="13" spans="1:8" s="1" customFormat="1" ht="17.25" x14ac:dyDescent="0.25">
      <c r="A13" s="369" t="str">
        <f>'пр к ПП2'!A13:L13</f>
        <v>Цель. Удовлетворение потребности населения в перевозках.</v>
      </c>
      <c r="B13" s="370"/>
      <c r="C13" s="370"/>
      <c r="D13" s="370"/>
      <c r="E13" s="370"/>
      <c r="F13" s="370"/>
      <c r="G13" s="370"/>
      <c r="H13" s="371"/>
    </row>
    <row r="14" spans="1:8" s="1" customFormat="1" ht="33" customHeight="1" x14ac:dyDescent="0.25">
      <c r="A14" s="369" t="str">
        <f>'пр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70"/>
      <c r="C14" s="370"/>
      <c r="D14" s="370"/>
      <c r="E14" s="370"/>
      <c r="F14" s="370"/>
      <c r="G14" s="370"/>
      <c r="H14" s="371"/>
    </row>
    <row r="15" spans="1:8" ht="51.75" x14ac:dyDescent="0.25">
      <c r="A15" s="289" t="s">
        <v>3</v>
      </c>
      <c r="B15" s="290" t="s">
        <v>136</v>
      </c>
      <c r="C15" s="289" t="s">
        <v>77</v>
      </c>
      <c r="D15" s="289" t="s">
        <v>78</v>
      </c>
      <c r="E15" s="291">
        <v>5.9640000000000004</v>
      </c>
      <c r="F15" s="291">
        <f t="shared" ref="F15:H16" si="0">E15+5%</f>
        <v>6.0140000000000002</v>
      </c>
      <c r="G15" s="291">
        <f t="shared" si="0"/>
        <v>6.0640000000000001</v>
      </c>
      <c r="H15" s="291">
        <f t="shared" si="0"/>
        <v>6.1139999999999999</v>
      </c>
    </row>
    <row r="16" spans="1:8" ht="51.75" x14ac:dyDescent="0.25">
      <c r="A16" s="289" t="s">
        <v>83</v>
      </c>
      <c r="B16" s="290" t="s">
        <v>137</v>
      </c>
      <c r="C16" s="289" t="s">
        <v>79</v>
      </c>
      <c r="D16" s="289" t="s">
        <v>78</v>
      </c>
      <c r="E16" s="291">
        <v>220.23599999999999</v>
      </c>
      <c r="F16" s="291">
        <f t="shared" si="0"/>
        <v>220.286</v>
      </c>
      <c r="G16" s="291">
        <f t="shared" si="0"/>
        <v>220.33600000000001</v>
      </c>
      <c r="H16" s="291">
        <f t="shared" si="0"/>
        <v>220.38600000000002</v>
      </c>
    </row>
    <row r="17" spans="1:8" ht="17.25" x14ac:dyDescent="0.25">
      <c r="A17" s="366" t="str">
        <f>'пр к ПП2'!A21:L21</f>
        <v>Задача 2. Создание безопасных условии для перевозок  на территории района</v>
      </c>
      <c r="B17" s="367"/>
      <c r="C17" s="367"/>
      <c r="D17" s="367"/>
      <c r="E17" s="367"/>
      <c r="F17" s="367"/>
      <c r="G17" s="367"/>
      <c r="H17" s="368"/>
    </row>
    <row r="18" spans="1:8" ht="51.75" x14ac:dyDescent="0.25">
      <c r="A18" s="327" t="s">
        <v>84</v>
      </c>
      <c r="B18" s="298" t="s">
        <v>209</v>
      </c>
      <c r="C18" s="327" t="s">
        <v>352</v>
      </c>
      <c r="D18" s="327" t="s">
        <v>78</v>
      </c>
      <c r="E18" s="294">
        <v>1</v>
      </c>
      <c r="F18" s="294">
        <v>1</v>
      </c>
      <c r="G18" s="294">
        <v>1</v>
      </c>
      <c r="H18" s="294">
        <v>1</v>
      </c>
    </row>
    <row r="19" spans="1:8" ht="86.25" x14ac:dyDescent="0.25">
      <c r="A19" s="327" t="s">
        <v>278</v>
      </c>
      <c r="B19" s="298" t="s">
        <v>254</v>
      </c>
      <c r="C19" s="327" t="s">
        <v>352</v>
      </c>
      <c r="D19" s="327" t="s">
        <v>78</v>
      </c>
      <c r="E19" s="294">
        <v>1</v>
      </c>
      <c r="F19" s="294">
        <v>1</v>
      </c>
      <c r="G19" s="294">
        <v>1</v>
      </c>
      <c r="H19" s="294">
        <v>1</v>
      </c>
    </row>
    <row r="20" spans="1:8" ht="17.25" x14ac:dyDescent="0.25">
      <c r="A20" s="366" t="str">
        <f>'пр к ПП2'!A26:L26</f>
        <v>Задача 3. Расходы на транспортировку тел умерших из населенных пунктов Туруханского района</v>
      </c>
      <c r="B20" s="367"/>
      <c r="C20" s="367"/>
      <c r="D20" s="367"/>
      <c r="E20" s="367"/>
      <c r="F20" s="367"/>
      <c r="G20" s="367"/>
      <c r="H20" s="368"/>
    </row>
    <row r="21" spans="1:8" ht="51.75" x14ac:dyDescent="0.25">
      <c r="A21" s="302" t="s">
        <v>116</v>
      </c>
      <c r="B21" s="298" t="s">
        <v>280</v>
      </c>
      <c r="C21" s="302" t="s">
        <v>352</v>
      </c>
      <c r="D21" s="302" t="s">
        <v>78</v>
      </c>
      <c r="E21" s="294">
        <v>1</v>
      </c>
      <c r="F21" s="294">
        <v>1</v>
      </c>
      <c r="G21" s="294">
        <v>1</v>
      </c>
      <c r="H21" s="294">
        <v>1</v>
      </c>
    </row>
    <row r="22" spans="1:8" ht="17.25" x14ac:dyDescent="0.25">
      <c r="A22" s="361" t="str">
        <f>'пр к ПП2'!A29:L29</f>
        <v>Отдельное мероприятие. Задача 4. Содержание улично-дорожной сети</v>
      </c>
      <c r="B22" s="362"/>
      <c r="C22" s="362"/>
      <c r="D22" s="362"/>
      <c r="E22" s="362"/>
      <c r="F22" s="362"/>
      <c r="G22" s="362"/>
      <c r="H22" s="363"/>
    </row>
    <row r="23" spans="1:8" ht="69" x14ac:dyDescent="0.25">
      <c r="A23" s="292" t="s">
        <v>117</v>
      </c>
      <c r="B23" s="293" t="s">
        <v>337</v>
      </c>
      <c r="C23" s="292" t="s">
        <v>288</v>
      </c>
      <c r="D23" s="292" t="s">
        <v>289</v>
      </c>
      <c r="E23" s="294">
        <v>1</v>
      </c>
      <c r="F23" s="295" t="s">
        <v>320</v>
      </c>
      <c r="G23" s="296" t="s">
        <v>320</v>
      </c>
      <c r="H23" s="296" t="str">
        <f t="shared" ref="H23" si="1">G23</f>
        <v>-</v>
      </c>
    </row>
    <row r="24" spans="1:8" ht="17.25" x14ac:dyDescent="0.25">
      <c r="A24" s="358" t="str">
        <f>'пр к ПП2'!A32:L32</f>
        <v>Отдельное мероприятие. Задача 5. Улучшение качества оказания услуг по перевозке пасажиров</v>
      </c>
      <c r="B24" s="359"/>
      <c r="C24" s="359"/>
      <c r="D24" s="359"/>
      <c r="E24" s="359"/>
      <c r="F24" s="359"/>
      <c r="G24" s="359"/>
      <c r="H24" s="360"/>
    </row>
    <row r="25" spans="1:8" ht="59.25" customHeight="1" x14ac:dyDescent="0.25">
      <c r="A25" s="292" t="s">
        <v>296</v>
      </c>
      <c r="B25" s="293" t="s">
        <v>340</v>
      </c>
      <c r="C25" s="292" t="s">
        <v>288</v>
      </c>
      <c r="D25" s="292" t="s">
        <v>289</v>
      </c>
      <c r="E25" s="297">
        <v>1</v>
      </c>
      <c r="F25" s="296" t="s">
        <v>320</v>
      </c>
      <c r="G25" s="296" t="s">
        <v>320</v>
      </c>
      <c r="H25" s="296" t="s">
        <v>320</v>
      </c>
    </row>
    <row r="26" spans="1:8" ht="17.25" x14ac:dyDescent="0.25">
      <c r="A26" s="361" t="str">
        <f>'пр к ПП2'!A35:L35</f>
        <v>Отдельное мероприятие. Задача 6. Улучшение качества содержания улично-дорожной сети</v>
      </c>
      <c r="B26" s="362"/>
      <c r="C26" s="362"/>
      <c r="D26" s="362"/>
      <c r="E26" s="362"/>
      <c r="F26" s="362"/>
      <c r="G26" s="362"/>
      <c r="H26" s="363"/>
    </row>
    <row r="27" spans="1:8" ht="55.5" customHeight="1" x14ac:dyDescent="0.25">
      <c r="A27" s="292" t="s">
        <v>299</v>
      </c>
      <c r="B27" s="293" t="s">
        <v>334</v>
      </c>
      <c r="C27" s="292" t="s">
        <v>288</v>
      </c>
      <c r="D27" s="292" t="s">
        <v>289</v>
      </c>
      <c r="E27" s="295" t="s">
        <v>320</v>
      </c>
      <c r="F27" s="295" t="s">
        <v>320</v>
      </c>
      <c r="G27" s="296" t="s">
        <v>320</v>
      </c>
      <c r="H27" s="296" t="str">
        <f t="shared" ref="H27" si="2">G27</f>
        <v>-</v>
      </c>
    </row>
    <row r="28" spans="1:8" ht="17.25" x14ac:dyDescent="0.25">
      <c r="A28" s="365" t="str">
        <f>'пр к ПП2'!A38:K38</f>
        <v>Отдельное мероприятие. Задача 7. Оказание услуг по проверке технического состояния автотранспортных средств</v>
      </c>
      <c r="B28" s="365"/>
      <c r="C28" s="365"/>
      <c r="D28" s="365"/>
      <c r="E28" s="365"/>
      <c r="F28" s="365"/>
      <c r="G28" s="365"/>
      <c r="H28" s="365"/>
    </row>
    <row r="29" spans="1:8" s="301" customFormat="1" ht="69" x14ac:dyDescent="0.25">
      <c r="A29" s="299" t="s">
        <v>339</v>
      </c>
      <c r="B29" s="290" t="s">
        <v>354</v>
      </c>
      <c r="C29" s="299" t="s">
        <v>288</v>
      </c>
      <c r="D29" s="292" t="s">
        <v>289</v>
      </c>
      <c r="E29" s="305">
        <v>1</v>
      </c>
      <c r="F29" s="305" t="s">
        <v>320</v>
      </c>
      <c r="G29" s="300" t="s">
        <v>320</v>
      </c>
      <c r="H29" s="300" t="s">
        <v>320</v>
      </c>
    </row>
    <row r="30" spans="1:8" ht="17.25" x14ac:dyDescent="0.25">
      <c r="A30" s="365" t="s">
        <v>360</v>
      </c>
      <c r="B30" s="365"/>
      <c r="C30" s="365"/>
      <c r="D30" s="365"/>
      <c r="E30" s="365"/>
      <c r="F30" s="365"/>
      <c r="G30" s="365"/>
      <c r="H30" s="365"/>
    </row>
    <row r="31" spans="1:8" ht="51.75" x14ac:dyDescent="0.25">
      <c r="A31" s="299" t="s">
        <v>355</v>
      </c>
      <c r="B31" s="290" t="s">
        <v>359</v>
      </c>
      <c r="C31" s="326" t="s">
        <v>352</v>
      </c>
      <c r="D31" s="292" t="s">
        <v>78</v>
      </c>
      <c r="E31" s="305">
        <v>1</v>
      </c>
      <c r="F31" s="305" t="s">
        <v>320</v>
      </c>
      <c r="G31" s="300" t="s">
        <v>320</v>
      </c>
      <c r="H31" s="300" t="s">
        <v>320</v>
      </c>
    </row>
  </sheetData>
  <mergeCells count="18">
    <mergeCell ref="A30:H30"/>
    <mergeCell ref="A28:H28"/>
    <mergeCell ref="A20:H20"/>
    <mergeCell ref="A17:H17"/>
    <mergeCell ref="A13:H13"/>
    <mergeCell ref="A14:H14"/>
    <mergeCell ref="E4:H4"/>
    <mergeCell ref="E1:H1"/>
    <mergeCell ref="A24:H24"/>
    <mergeCell ref="A22:H22"/>
    <mergeCell ref="A26:H26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8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54"/>
  <sheetViews>
    <sheetView tabSelected="1" view="pageBreakPreview" topLeftCell="B9" zoomScale="85" zoomScaleNormal="70" zoomScaleSheetLayoutView="85" workbookViewId="0">
      <selection activeCell="B36" sqref="B36:B37"/>
    </sheetView>
  </sheetViews>
  <sheetFormatPr defaultColWidth="9" defaultRowHeight="18.75" outlineLevelRow="1" x14ac:dyDescent="0.25"/>
  <cols>
    <col min="1" max="1" width="4.75" style="156" customWidth="1"/>
    <col min="2" max="2" width="58.875" style="157" customWidth="1"/>
    <col min="3" max="3" width="35.125" style="157" customWidth="1"/>
    <col min="4" max="5" width="7.375" style="157" customWidth="1"/>
    <col min="6" max="6" width="14.75" style="157" customWidth="1"/>
    <col min="7" max="7" width="5.75" style="157" customWidth="1"/>
    <col min="8" max="8" width="16" style="8" customWidth="1"/>
    <col min="9" max="10" width="16" style="157" bestFit="1" customWidth="1"/>
    <col min="11" max="11" width="18.625" style="157" customWidth="1"/>
    <col min="12" max="12" width="40.375" style="157" customWidth="1"/>
    <col min="13" max="13" width="24.125" style="157" customWidth="1"/>
    <col min="14" max="16" width="9" style="157"/>
    <col min="17" max="17" width="22.375" style="157" customWidth="1"/>
    <col min="18" max="18" width="19.25" style="157" customWidth="1"/>
    <col min="19" max="19" width="17" style="157" customWidth="1"/>
    <col min="20" max="16384" width="9" style="157"/>
  </cols>
  <sheetData>
    <row r="1" spans="1:12" ht="63.75" customHeight="1" outlineLevel="1" x14ac:dyDescent="0.3">
      <c r="K1" s="388" t="s">
        <v>363</v>
      </c>
      <c r="L1" s="388"/>
    </row>
    <row r="2" spans="1:12" ht="10.5" customHeight="1" outlineLevel="1" x14ac:dyDescent="0.25"/>
    <row r="3" spans="1:12" ht="12.75" customHeight="1" outlineLevel="1" x14ac:dyDescent="0.25"/>
    <row r="4" spans="1:12" ht="63.75" customHeight="1" x14ac:dyDescent="0.25">
      <c r="A4" s="137"/>
      <c r="B4" s="8"/>
      <c r="C4" s="8"/>
      <c r="D4" s="8"/>
      <c r="E4" s="8"/>
      <c r="F4" s="8"/>
      <c r="G4" s="8"/>
      <c r="I4" s="8"/>
      <c r="J4" s="8"/>
      <c r="K4" s="353" t="s">
        <v>202</v>
      </c>
      <c r="L4" s="353"/>
    </row>
    <row r="5" spans="1:12" ht="9.75" customHeight="1" x14ac:dyDescent="0.25">
      <c r="A5" s="137"/>
      <c r="B5" s="8"/>
      <c r="C5" s="8"/>
      <c r="D5" s="8"/>
      <c r="E5" s="8"/>
      <c r="F5" s="8"/>
      <c r="G5" s="8"/>
      <c r="I5" s="8"/>
      <c r="J5" s="8"/>
      <c r="K5" s="8"/>
      <c r="L5" s="8"/>
    </row>
    <row r="6" spans="1:12" ht="9.75" customHeight="1" x14ac:dyDescent="0.25">
      <c r="A6" s="137"/>
      <c r="B6" s="8"/>
      <c r="C6" s="8"/>
      <c r="D6" s="8"/>
      <c r="E6" s="8"/>
      <c r="F6" s="8"/>
      <c r="G6" s="8"/>
      <c r="I6" s="8"/>
      <c r="J6" s="8"/>
      <c r="K6" s="8"/>
      <c r="L6" s="8"/>
    </row>
    <row r="7" spans="1:12" x14ac:dyDescent="0.25">
      <c r="A7" s="356" t="s">
        <v>1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</row>
    <row r="8" spans="1:12" x14ac:dyDescent="0.25">
      <c r="A8" s="356" t="s">
        <v>228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</row>
    <row r="9" spans="1:12" x14ac:dyDescent="0.25">
      <c r="A9" s="137"/>
      <c r="B9" s="8"/>
      <c r="C9" s="8"/>
      <c r="D9" s="8"/>
      <c r="E9" s="8"/>
      <c r="F9" s="8"/>
      <c r="G9" s="8"/>
      <c r="I9" s="8"/>
      <c r="J9" s="8"/>
      <c r="K9" s="8"/>
      <c r="L9" s="8"/>
    </row>
    <row r="10" spans="1:12" s="169" customFormat="1" ht="32.25" customHeight="1" x14ac:dyDescent="0.25">
      <c r="A10" s="333" t="s">
        <v>19</v>
      </c>
      <c r="B10" s="333" t="s">
        <v>49</v>
      </c>
      <c r="C10" s="333" t="s">
        <v>25</v>
      </c>
      <c r="D10" s="333" t="s">
        <v>23</v>
      </c>
      <c r="E10" s="333"/>
      <c r="F10" s="333"/>
      <c r="G10" s="333"/>
      <c r="H10" s="333" t="s">
        <v>50</v>
      </c>
      <c r="I10" s="333"/>
      <c r="J10" s="333"/>
      <c r="K10" s="333"/>
      <c r="L10" s="333" t="s">
        <v>51</v>
      </c>
    </row>
    <row r="11" spans="1:12" s="169" customFormat="1" ht="57" customHeight="1" x14ac:dyDescent="0.25">
      <c r="A11" s="333"/>
      <c r="B11" s="333"/>
      <c r="C11" s="333"/>
      <c r="D11" s="134" t="s">
        <v>25</v>
      </c>
      <c r="E11" s="134" t="s">
        <v>26</v>
      </c>
      <c r="F11" s="134" t="s">
        <v>27</v>
      </c>
      <c r="G11" s="134" t="s">
        <v>28</v>
      </c>
      <c r="H11" s="320">
        <v>2022</v>
      </c>
      <c r="I11" s="141">
        <v>2023</v>
      </c>
      <c r="J11" s="141">
        <v>2024</v>
      </c>
      <c r="K11" s="134" t="s">
        <v>52</v>
      </c>
      <c r="L11" s="333"/>
    </row>
    <row r="12" spans="1:12" s="169" customFormat="1" ht="15.75" x14ac:dyDescent="0.25">
      <c r="A12" s="134">
        <v>1</v>
      </c>
      <c r="B12" s="134">
        <v>2</v>
      </c>
      <c r="C12" s="134">
        <v>3</v>
      </c>
      <c r="D12" s="134">
        <v>4</v>
      </c>
      <c r="E12" s="134">
        <v>5</v>
      </c>
      <c r="F12" s="134">
        <v>6</v>
      </c>
      <c r="G12" s="134">
        <v>7</v>
      </c>
      <c r="H12" s="317">
        <v>8</v>
      </c>
      <c r="I12" s="134">
        <v>9</v>
      </c>
      <c r="J12" s="134">
        <v>10</v>
      </c>
      <c r="K12" s="134">
        <v>11</v>
      </c>
      <c r="L12" s="134">
        <v>12</v>
      </c>
    </row>
    <row r="13" spans="1:12" s="170" customFormat="1" ht="18.75" customHeight="1" x14ac:dyDescent="0.25">
      <c r="A13" s="349" t="s">
        <v>164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</row>
    <row r="14" spans="1:12" s="170" customFormat="1" ht="15.75" x14ac:dyDescent="0.25">
      <c r="A14" s="349" t="s">
        <v>123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</row>
    <row r="15" spans="1:12" s="169" customFormat="1" ht="30.75" customHeight="1" x14ac:dyDescent="0.25">
      <c r="A15" s="333" t="s">
        <v>3</v>
      </c>
      <c r="B15" s="331" t="s">
        <v>104</v>
      </c>
      <c r="C15" s="132" t="s">
        <v>65</v>
      </c>
      <c r="D15" s="134">
        <v>241</v>
      </c>
      <c r="E15" s="134" t="s">
        <v>64</v>
      </c>
      <c r="F15" s="59" t="s">
        <v>172</v>
      </c>
      <c r="G15" s="134">
        <v>811</v>
      </c>
      <c r="H15" s="32">
        <v>125167.4</v>
      </c>
      <c r="I15" s="32">
        <v>125167.4</v>
      </c>
      <c r="J15" s="32">
        <v>125167.4</v>
      </c>
      <c r="K15" s="33">
        <f>SUM(H15:J15)</f>
        <v>375502.19999999995</v>
      </c>
      <c r="L15" s="331" t="s">
        <v>120</v>
      </c>
    </row>
    <row r="16" spans="1:12" s="169" customFormat="1" ht="15.75" x14ac:dyDescent="0.25">
      <c r="A16" s="333"/>
      <c r="B16" s="331"/>
      <c r="C16" s="70" t="s">
        <v>258</v>
      </c>
      <c r="D16" s="56" t="s">
        <v>30</v>
      </c>
      <c r="E16" s="56" t="s">
        <v>30</v>
      </c>
      <c r="F16" s="56" t="s">
        <v>30</v>
      </c>
      <c r="G16" s="56" t="s">
        <v>30</v>
      </c>
      <c r="H16" s="71">
        <f>H15</f>
        <v>125167.4</v>
      </c>
      <c r="I16" s="71">
        <f t="shared" ref="I16" si="0">I15</f>
        <v>125167.4</v>
      </c>
      <c r="J16" s="71">
        <f t="shared" ref="J16" si="1">J15</f>
        <v>125167.4</v>
      </c>
      <c r="K16" s="60">
        <f t="shared" ref="K16:K18" si="2">SUM(H16:J16)</f>
        <v>375502.19999999995</v>
      </c>
      <c r="L16" s="331"/>
    </row>
    <row r="17" spans="1:20" s="169" customFormat="1" ht="33.75" customHeight="1" x14ac:dyDescent="0.25">
      <c r="A17" s="333" t="s">
        <v>83</v>
      </c>
      <c r="B17" s="331" t="s">
        <v>105</v>
      </c>
      <c r="C17" s="132" t="s">
        <v>65</v>
      </c>
      <c r="D17" s="134">
        <v>241</v>
      </c>
      <c r="E17" s="134" t="s">
        <v>64</v>
      </c>
      <c r="F17" s="59" t="s">
        <v>173</v>
      </c>
      <c r="G17" s="134">
        <v>540</v>
      </c>
      <c r="H17" s="32">
        <v>31711.896000000001</v>
      </c>
      <c r="I17" s="32">
        <v>31711.896000000001</v>
      </c>
      <c r="J17" s="32">
        <v>31711.896000000001</v>
      </c>
      <c r="K17" s="33">
        <f>SUM(H17:J17)</f>
        <v>95135.687999999995</v>
      </c>
      <c r="L17" s="331" t="s">
        <v>120</v>
      </c>
      <c r="O17" s="174"/>
      <c r="P17" s="174"/>
      <c r="Q17" s="174" t="s">
        <v>303</v>
      </c>
      <c r="R17" s="174"/>
      <c r="S17" s="175"/>
    </row>
    <row r="18" spans="1:20" s="169" customFormat="1" ht="15.75" x14ac:dyDescent="0.25">
      <c r="A18" s="333"/>
      <c r="B18" s="331"/>
      <c r="C18" s="70" t="s">
        <v>258</v>
      </c>
      <c r="D18" s="56" t="s">
        <v>30</v>
      </c>
      <c r="E18" s="56" t="s">
        <v>30</v>
      </c>
      <c r="F18" s="56" t="s">
        <v>30</v>
      </c>
      <c r="G18" s="56" t="s">
        <v>30</v>
      </c>
      <c r="H18" s="71">
        <f t="shared" ref="H18:H20" si="3">H17</f>
        <v>31711.896000000001</v>
      </c>
      <c r="I18" s="71">
        <f t="shared" ref="I18:J20" si="4">I17</f>
        <v>31711.896000000001</v>
      </c>
      <c r="J18" s="71">
        <f t="shared" si="4"/>
        <v>31711.896000000001</v>
      </c>
      <c r="K18" s="60">
        <f t="shared" si="2"/>
        <v>95135.687999999995</v>
      </c>
      <c r="L18" s="331"/>
      <c r="O18" s="174" t="s">
        <v>305</v>
      </c>
      <c r="P18" s="174"/>
      <c r="Q18" s="176">
        <v>708164</v>
      </c>
      <c r="R18" s="176">
        <v>-708164</v>
      </c>
      <c r="S18" s="177">
        <f>Q18+R18</f>
        <v>0</v>
      </c>
      <c r="T18" s="169" t="s">
        <v>309</v>
      </c>
    </row>
    <row r="19" spans="1:20" s="169" customFormat="1" ht="15.75" hidden="1" outlineLevel="1" x14ac:dyDescent="0.25">
      <c r="A19" s="374" t="s">
        <v>85</v>
      </c>
      <c r="B19" s="372" t="s">
        <v>310</v>
      </c>
      <c r="C19" s="164" t="s">
        <v>65</v>
      </c>
      <c r="D19" s="178" t="s">
        <v>281</v>
      </c>
      <c r="E19" s="178" t="s">
        <v>64</v>
      </c>
      <c r="F19" s="178" t="s">
        <v>312</v>
      </c>
      <c r="G19" s="178" t="s">
        <v>311</v>
      </c>
      <c r="H19" s="312">
        <v>0</v>
      </c>
      <c r="I19" s="179">
        <v>0</v>
      </c>
      <c r="J19" s="179">
        <v>0</v>
      </c>
      <c r="K19" s="120"/>
      <c r="L19" s="376" t="s">
        <v>313</v>
      </c>
      <c r="O19" s="174"/>
      <c r="P19" s="174"/>
      <c r="Q19" s="176"/>
      <c r="R19" s="176"/>
      <c r="S19" s="177"/>
    </row>
    <row r="20" spans="1:20" s="169" customFormat="1" ht="15.75" hidden="1" outlineLevel="1" x14ac:dyDescent="0.25">
      <c r="A20" s="375"/>
      <c r="B20" s="373"/>
      <c r="C20" s="171" t="s">
        <v>258</v>
      </c>
      <c r="D20" s="159" t="s">
        <v>30</v>
      </c>
      <c r="E20" s="159" t="s">
        <v>30</v>
      </c>
      <c r="F20" s="159" t="s">
        <v>30</v>
      </c>
      <c r="G20" s="159" t="s">
        <v>30</v>
      </c>
      <c r="H20" s="71">
        <f t="shared" si="3"/>
        <v>0</v>
      </c>
      <c r="I20" s="172">
        <f t="shared" si="4"/>
        <v>0</v>
      </c>
      <c r="J20" s="172">
        <f t="shared" si="4"/>
        <v>0</v>
      </c>
      <c r="K20" s="173">
        <f t="shared" ref="K20" si="5">SUM(H20:J20)</f>
        <v>0</v>
      </c>
      <c r="L20" s="376"/>
      <c r="O20" s="174"/>
      <c r="P20" s="174"/>
      <c r="Q20" s="176"/>
      <c r="R20" s="176"/>
      <c r="S20" s="177"/>
    </row>
    <row r="21" spans="1:20" s="170" customFormat="1" ht="15.75" collapsed="1" x14ac:dyDescent="0.25">
      <c r="A21" s="349" t="s">
        <v>236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O21" s="174" t="s">
        <v>304</v>
      </c>
      <c r="P21" s="174"/>
      <c r="Q21" s="176">
        <v>22121777</v>
      </c>
      <c r="R21" s="176">
        <v>-810700</v>
      </c>
      <c r="S21" s="177">
        <f t="shared" ref="S21:S23" si="6">Q21+R21</f>
        <v>21311077</v>
      </c>
      <c r="T21" s="170" t="s">
        <v>309</v>
      </c>
    </row>
    <row r="22" spans="1:20" s="169" customFormat="1" ht="33" customHeight="1" x14ac:dyDescent="0.25">
      <c r="A22" s="333" t="s">
        <v>84</v>
      </c>
      <c r="B22" s="331" t="s">
        <v>209</v>
      </c>
      <c r="C22" s="132" t="s">
        <v>94</v>
      </c>
      <c r="D22" s="134">
        <v>242</v>
      </c>
      <c r="E22" s="59" t="s">
        <v>210</v>
      </c>
      <c r="F22" s="59" t="s">
        <v>221</v>
      </c>
      <c r="G22" s="134">
        <v>244</v>
      </c>
      <c r="H22" s="122">
        <v>0</v>
      </c>
      <c r="I22" s="123">
        <v>0</v>
      </c>
      <c r="J22" s="123">
        <v>0</v>
      </c>
      <c r="K22" s="124">
        <f t="shared" ref="K22:K23" si="7">SUM(H22:J22)</f>
        <v>0</v>
      </c>
      <c r="L22" s="331" t="s">
        <v>345</v>
      </c>
      <c r="O22" s="174" t="s">
        <v>306</v>
      </c>
      <c r="P22" s="174"/>
      <c r="Q22" s="176">
        <v>3498423</v>
      </c>
      <c r="R22" s="176"/>
      <c r="S22" s="177">
        <f t="shared" si="6"/>
        <v>3498423</v>
      </c>
    </row>
    <row r="23" spans="1:20" s="169" customFormat="1" ht="20.25" x14ac:dyDescent="0.25">
      <c r="A23" s="333"/>
      <c r="B23" s="331"/>
      <c r="C23" s="70" t="s">
        <v>222</v>
      </c>
      <c r="D23" s="56" t="s">
        <v>30</v>
      </c>
      <c r="E23" s="56" t="s">
        <v>30</v>
      </c>
      <c r="F23" s="56" t="s">
        <v>30</v>
      </c>
      <c r="G23" s="56" t="s">
        <v>30</v>
      </c>
      <c r="H23" s="125">
        <f>H22</f>
        <v>0</v>
      </c>
      <c r="I23" s="125">
        <f t="shared" ref="I23:I25" si="8">I22</f>
        <v>0</v>
      </c>
      <c r="J23" s="125">
        <f t="shared" ref="J23:J25" si="9">J22</f>
        <v>0</v>
      </c>
      <c r="K23" s="126">
        <f t="shared" si="7"/>
        <v>0</v>
      </c>
      <c r="L23" s="331"/>
      <c r="O23" s="174" t="s">
        <v>307</v>
      </c>
      <c r="P23" s="174"/>
      <c r="Q23" s="176">
        <v>1833337</v>
      </c>
      <c r="R23" s="176"/>
      <c r="S23" s="177">
        <f t="shared" si="6"/>
        <v>1833337</v>
      </c>
    </row>
    <row r="24" spans="1:20" s="169" customFormat="1" ht="50.25" customHeight="1" x14ac:dyDescent="0.25">
      <c r="A24" s="333" t="s">
        <v>278</v>
      </c>
      <c r="B24" s="331" t="s">
        <v>254</v>
      </c>
      <c r="C24" s="133" t="s">
        <v>66</v>
      </c>
      <c r="D24" s="134">
        <v>247</v>
      </c>
      <c r="E24" s="59" t="s">
        <v>64</v>
      </c>
      <c r="F24" s="59" t="s">
        <v>253</v>
      </c>
      <c r="G24" s="134">
        <v>540</v>
      </c>
      <c r="H24" s="122">
        <v>0</v>
      </c>
      <c r="I24" s="123">
        <v>0</v>
      </c>
      <c r="J24" s="123">
        <v>0</v>
      </c>
      <c r="K24" s="124">
        <f t="shared" ref="K24:K25" si="10">SUM(H24:J24)</f>
        <v>0</v>
      </c>
      <c r="L24" s="278" t="s">
        <v>346</v>
      </c>
      <c r="O24" s="174" t="s">
        <v>308</v>
      </c>
      <c r="P24" s="174"/>
      <c r="Q24" s="176"/>
      <c r="R24" s="176"/>
      <c r="S24" s="177"/>
    </row>
    <row r="25" spans="1:20" s="169" customFormat="1" ht="20.25" x14ac:dyDescent="0.25">
      <c r="A25" s="333"/>
      <c r="B25" s="331"/>
      <c r="C25" s="70" t="s">
        <v>222</v>
      </c>
      <c r="D25" s="56" t="s">
        <v>30</v>
      </c>
      <c r="E25" s="56" t="s">
        <v>30</v>
      </c>
      <c r="F25" s="56" t="s">
        <v>30</v>
      </c>
      <c r="G25" s="56" t="s">
        <v>30</v>
      </c>
      <c r="H25" s="125">
        <f>H24</f>
        <v>0</v>
      </c>
      <c r="I25" s="125">
        <f t="shared" si="8"/>
        <v>0</v>
      </c>
      <c r="J25" s="125">
        <f t="shared" si="9"/>
        <v>0</v>
      </c>
      <c r="K25" s="126">
        <f t="shared" si="10"/>
        <v>0</v>
      </c>
      <c r="L25" s="147"/>
      <c r="O25" s="174"/>
      <c r="P25" s="174"/>
      <c r="Q25" s="176">
        <f>SUM(Q18:Q24)</f>
        <v>28161701</v>
      </c>
      <c r="R25" s="176"/>
      <c r="S25" s="177">
        <f>SUM(S18:S24)</f>
        <v>26642837</v>
      </c>
    </row>
    <row r="26" spans="1:20" s="169" customFormat="1" ht="15.75" x14ac:dyDescent="0.25">
      <c r="A26" s="377" t="s">
        <v>279</v>
      </c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9"/>
    </row>
    <row r="27" spans="1:20" s="169" customFormat="1" ht="51.75" customHeight="1" x14ac:dyDescent="0.25">
      <c r="A27" s="350" t="s">
        <v>116</v>
      </c>
      <c r="B27" s="346" t="s">
        <v>280</v>
      </c>
      <c r="C27" s="132" t="s">
        <v>65</v>
      </c>
      <c r="D27" s="94" t="s">
        <v>281</v>
      </c>
      <c r="E27" s="94" t="s">
        <v>67</v>
      </c>
      <c r="F27" s="94" t="s">
        <v>282</v>
      </c>
      <c r="G27" s="94" t="s">
        <v>284</v>
      </c>
      <c r="H27" s="128">
        <v>4320</v>
      </c>
      <c r="I27" s="128">
        <v>4320</v>
      </c>
      <c r="J27" s="128">
        <v>4320</v>
      </c>
      <c r="K27" s="33">
        <f>SUM(H27:J27)</f>
        <v>12960</v>
      </c>
      <c r="L27" s="278" t="s">
        <v>347</v>
      </c>
      <c r="S27" s="169">
        <f>S25/1000</f>
        <v>26642.837</v>
      </c>
    </row>
    <row r="28" spans="1:20" s="169" customFormat="1" ht="15.75" x14ac:dyDescent="0.25">
      <c r="A28" s="351"/>
      <c r="B28" s="348"/>
      <c r="C28" s="70" t="s">
        <v>258</v>
      </c>
      <c r="D28" s="56" t="s">
        <v>30</v>
      </c>
      <c r="E28" s="56" t="s">
        <v>30</v>
      </c>
      <c r="F28" s="56" t="s">
        <v>30</v>
      </c>
      <c r="G28" s="56" t="s">
        <v>30</v>
      </c>
      <c r="H28" s="71">
        <f>SUM(H27)</f>
        <v>4320</v>
      </c>
      <c r="I28" s="71">
        <f t="shared" ref="I28:K28" si="11">SUM(I27)</f>
        <v>4320</v>
      </c>
      <c r="J28" s="71">
        <f t="shared" si="11"/>
        <v>4320</v>
      </c>
      <c r="K28" s="71">
        <f t="shared" si="11"/>
        <v>12960</v>
      </c>
      <c r="L28" s="147"/>
      <c r="S28" s="180">
        <f>S27-H17</f>
        <v>-5069.0590000000011</v>
      </c>
    </row>
    <row r="29" spans="1:20" s="169" customFormat="1" ht="15" customHeight="1" x14ac:dyDescent="0.25">
      <c r="A29" s="384" t="s">
        <v>341</v>
      </c>
      <c r="B29" s="385"/>
      <c r="C29" s="385"/>
      <c r="D29" s="385"/>
      <c r="E29" s="385"/>
      <c r="F29" s="385"/>
      <c r="G29" s="385"/>
      <c r="H29" s="385"/>
      <c r="I29" s="385"/>
      <c r="J29" s="385"/>
      <c r="K29" s="385"/>
      <c r="L29" s="386"/>
    </row>
    <row r="30" spans="1:20" s="169" customFormat="1" ht="36.75" customHeight="1" x14ac:dyDescent="0.25">
      <c r="A30" s="350" t="s">
        <v>117</v>
      </c>
      <c r="B30" s="346" t="s">
        <v>337</v>
      </c>
      <c r="C30" s="132" t="s">
        <v>65</v>
      </c>
      <c r="D30" s="94" t="s">
        <v>281</v>
      </c>
      <c r="E30" s="94" t="s">
        <v>67</v>
      </c>
      <c r="F30" s="94" t="s">
        <v>327</v>
      </c>
      <c r="G30" s="94" t="s">
        <v>302</v>
      </c>
      <c r="H30" s="128">
        <v>44000</v>
      </c>
      <c r="I30" s="128">
        <v>17500</v>
      </c>
      <c r="J30" s="128">
        <v>17500</v>
      </c>
      <c r="K30" s="33">
        <f>SUM(H30:J30)</f>
        <v>79000</v>
      </c>
      <c r="L30" s="278" t="s">
        <v>348</v>
      </c>
      <c r="M30" s="169" t="s">
        <v>342</v>
      </c>
    </row>
    <row r="31" spans="1:20" s="169" customFormat="1" ht="15.75" x14ac:dyDescent="0.25">
      <c r="A31" s="351"/>
      <c r="B31" s="348"/>
      <c r="C31" s="70" t="s">
        <v>258</v>
      </c>
      <c r="D31" s="56" t="s">
        <v>30</v>
      </c>
      <c r="E31" s="56" t="s">
        <v>30</v>
      </c>
      <c r="F31" s="56" t="s">
        <v>30</v>
      </c>
      <c r="G31" s="56" t="s">
        <v>30</v>
      </c>
      <c r="H31" s="71">
        <f>SUM(H30)</f>
        <v>44000</v>
      </c>
      <c r="I31" s="71">
        <f t="shared" ref="I31:K31" si="12">SUM(I30)</f>
        <v>17500</v>
      </c>
      <c r="J31" s="71">
        <f t="shared" si="12"/>
        <v>17500</v>
      </c>
      <c r="K31" s="71">
        <f t="shared" si="12"/>
        <v>79000</v>
      </c>
      <c r="L31" s="304"/>
    </row>
    <row r="32" spans="1:20" s="169" customFormat="1" ht="15.75" customHeight="1" x14ac:dyDescent="0.25">
      <c r="A32" s="384" t="s">
        <v>328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386"/>
    </row>
    <row r="33" spans="1:13" s="169" customFormat="1" ht="30" customHeight="1" x14ac:dyDescent="0.25">
      <c r="A33" s="350" t="s">
        <v>296</v>
      </c>
      <c r="B33" s="346" t="s">
        <v>340</v>
      </c>
      <c r="C33" s="278" t="s">
        <v>65</v>
      </c>
      <c r="D33" s="94" t="s">
        <v>281</v>
      </c>
      <c r="E33" s="94" t="s">
        <v>67</v>
      </c>
      <c r="F33" s="94" t="s">
        <v>329</v>
      </c>
      <c r="G33" s="94" t="s">
        <v>302</v>
      </c>
      <c r="H33" s="128">
        <v>1200</v>
      </c>
      <c r="I33" s="128">
        <v>0</v>
      </c>
      <c r="J33" s="128">
        <v>0</v>
      </c>
      <c r="K33" s="33">
        <f>SUM(H33:J33)</f>
        <v>1200</v>
      </c>
      <c r="L33" s="278" t="s">
        <v>349</v>
      </c>
    </row>
    <row r="34" spans="1:13" s="169" customFormat="1" ht="15.75" x14ac:dyDescent="0.25">
      <c r="A34" s="351"/>
      <c r="B34" s="348"/>
      <c r="C34" s="70" t="s">
        <v>258</v>
      </c>
      <c r="D34" s="56" t="s">
        <v>30</v>
      </c>
      <c r="E34" s="56" t="s">
        <v>30</v>
      </c>
      <c r="F34" s="56" t="s">
        <v>30</v>
      </c>
      <c r="G34" s="56" t="s">
        <v>30</v>
      </c>
      <c r="H34" s="71">
        <f>SUM(H33)</f>
        <v>1200</v>
      </c>
      <c r="I34" s="71">
        <f t="shared" ref="I34:K34" si="13">SUM(I33)</f>
        <v>0</v>
      </c>
      <c r="J34" s="71">
        <f t="shared" si="13"/>
        <v>0</v>
      </c>
      <c r="K34" s="71">
        <f t="shared" si="13"/>
        <v>1200</v>
      </c>
      <c r="L34" s="279"/>
    </row>
    <row r="35" spans="1:13" s="169" customFormat="1" ht="15.75" customHeight="1" x14ac:dyDescent="0.25">
      <c r="A35" s="384" t="s">
        <v>330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386"/>
    </row>
    <row r="36" spans="1:13" s="169" customFormat="1" ht="27.75" customHeight="1" x14ac:dyDescent="0.25">
      <c r="A36" s="350" t="s">
        <v>299</v>
      </c>
      <c r="B36" s="346" t="s">
        <v>334</v>
      </c>
      <c r="C36" s="278" t="s">
        <v>65</v>
      </c>
      <c r="D36" s="94" t="s">
        <v>281</v>
      </c>
      <c r="E36" s="94" t="s">
        <v>67</v>
      </c>
      <c r="F36" s="94" t="s">
        <v>331</v>
      </c>
      <c r="G36" s="94" t="s">
        <v>311</v>
      </c>
      <c r="H36" s="128">
        <f>15450+2000+1200</f>
        <v>18650</v>
      </c>
      <c r="I36" s="128">
        <v>0</v>
      </c>
      <c r="J36" s="128">
        <v>0</v>
      </c>
      <c r="K36" s="33">
        <f>SUM(H36:J36)</f>
        <v>18650</v>
      </c>
      <c r="L36" s="278" t="s">
        <v>350</v>
      </c>
      <c r="M36" s="169" t="s">
        <v>343</v>
      </c>
    </row>
    <row r="37" spans="1:13" s="169" customFormat="1" ht="15.75" x14ac:dyDescent="0.25">
      <c r="A37" s="351"/>
      <c r="B37" s="348"/>
      <c r="C37" s="70" t="s">
        <v>258</v>
      </c>
      <c r="D37" s="56" t="s">
        <v>30</v>
      </c>
      <c r="E37" s="56" t="s">
        <v>30</v>
      </c>
      <c r="F37" s="56" t="s">
        <v>30</v>
      </c>
      <c r="G37" s="56" t="s">
        <v>30</v>
      </c>
      <c r="H37" s="71">
        <f>SUM(H36)</f>
        <v>18650</v>
      </c>
      <c r="I37" s="71">
        <f t="shared" ref="I37:K37" si="14">SUM(I36)</f>
        <v>0</v>
      </c>
      <c r="J37" s="71">
        <f t="shared" si="14"/>
        <v>0</v>
      </c>
      <c r="K37" s="71">
        <f t="shared" si="14"/>
        <v>18650</v>
      </c>
      <c r="L37" s="279"/>
    </row>
    <row r="38" spans="1:13" s="169" customFormat="1" ht="15.75" x14ac:dyDescent="0.25">
      <c r="A38" s="382" t="s">
        <v>338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7"/>
      <c r="L38" s="277"/>
    </row>
    <row r="39" spans="1:13" s="169" customFormat="1" ht="31.5" x14ac:dyDescent="0.25">
      <c r="A39" s="350" t="s">
        <v>339</v>
      </c>
      <c r="B39" s="346" t="s">
        <v>354</v>
      </c>
      <c r="C39" s="276" t="s">
        <v>65</v>
      </c>
      <c r="D39" s="311" t="s">
        <v>281</v>
      </c>
      <c r="E39" s="311" t="s">
        <v>67</v>
      </c>
      <c r="F39" s="311" t="s">
        <v>353</v>
      </c>
      <c r="G39" s="311" t="s">
        <v>311</v>
      </c>
      <c r="H39" s="128">
        <v>1591</v>
      </c>
      <c r="I39" s="280">
        <v>0</v>
      </c>
      <c r="J39" s="280">
        <v>0</v>
      </c>
      <c r="K39" s="281">
        <f>SUM(H39:J39)</f>
        <v>1591</v>
      </c>
      <c r="L39" s="278" t="s">
        <v>351</v>
      </c>
      <c r="M39" s="169" t="s">
        <v>344</v>
      </c>
    </row>
    <row r="40" spans="1:13" s="169" customFormat="1" ht="15.75" x14ac:dyDescent="0.25">
      <c r="A40" s="351"/>
      <c r="B40" s="348"/>
      <c r="C40" s="70" t="s">
        <v>258</v>
      </c>
      <c r="D40" s="56" t="s">
        <v>30</v>
      </c>
      <c r="E40" s="56" t="s">
        <v>30</v>
      </c>
      <c r="F40" s="56" t="s">
        <v>30</v>
      </c>
      <c r="G40" s="56" t="s">
        <v>30</v>
      </c>
      <c r="H40" s="71">
        <f>SUM(H39)</f>
        <v>1591</v>
      </c>
      <c r="I40" s="71">
        <f t="shared" ref="I40:K40" si="15">SUM(I39)</f>
        <v>0</v>
      </c>
      <c r="J40" s="71">
        <f t="shared" si="15"/>
        <v>0</v>
      </c>
      <c r="K40" s="71">
        <f t="shared" si="15"/>
        <v>1591</v>
      </c>
      <c r="L40" s="147"/>
    </row>
    <row r="41" spans="1:13" s="169" customFormat="1" ht="15.75" customHeight="1" x14ac:dyDescent="0.25">
      <c r="A41" s="382" t="s">
        <v>360</v>
      </c>
      <c r="B41" s="383"/>
      <c r="C41" s="383"/>
      <c r="D41" s="383"/>
      <c r="E41" s="383"/>
      <c r="F41" s="383"/>
      <c r="G41" s="383"/>
      <c r="H41" s="383"/>
      <c r="I41" s="324"/>
      <c r="J41" s="324"/>
      <c r="K41" s="325"/>
      <c r="L41" s="319"/>
    </row>
    <row r="42" spans="1:13" s="169" customFormat="1" ht="31.5" x14ac:dyDescent="0.25">
      <c r="A42" s="350" t="s">
        <v>355</v>
      </c>
      <c r="B42" s="380" t="s">
        <v>359</v>
      </c>
      <c r="C42" s="316" t="s">
        <v>65</v>
      </c>
      <c r="D42" s="311" t="s">
        <v>281</v>
      </c>
      <c r="E42" s="311" t="s">
        <v>67</v>
      </c>
      <c r="F42" s="311" t="s">
        <v>357</v>
      </c>
      <c r="G42" s="311" t="s">
        <v>358</v>
      </c>
      <c r="H42" s="128">
        <v>1500</v>
      </c>
      <c r="I42" s="280">
        <v>0</v>
      </c>
      <c r="J42" s="280">
        <v>0</v>
      </c>
      <c r="K42" s="281">
        <f>SUM(H42:J42)</f>
        <v>1500</v>
      </c>
      <c r="L42" s="316" t="s">
        <v>361</v>
      </c>
      <c r="M42" s="169" t="s">
        <v>356</v>
      </c>
    </row>
    <row r="43" spans="1:13" s="169" customFormat="1" ht="15.75" x14ac:dyDescent="0.25">
      <c r="A43" s="351"/>
      <c r="B43" s="381"/>
      <c r="C43" s="70" t="s">
        <v>258</v>
      </c>
      <c r="D43" s="56" t="s">
        <v>30</v>
      </c>
      <c r="E43" s="56" t="s">
        <v>30</v>
      </c>
      <c r="F43" s="56" t="s">
        <v>30</v>
      </c>
      <c r="G43" s="56" t="s">
        <v>30</v>
      </c>
      <c r="H43" s="71">
        <f>SUM(H42)</f>
        <v>1500</v>
      </c>
      <c r="I43" s="71">
        <f t="shared" ref="I43:K43" si="16">SUM(I42)</f>
        <v>0</v>
      </c>
      <c r="J43" s="71">
        <f t="shared" si="16"/>
        <v>0</v>
      </c>
      <c r="K43" s="71">
        <f t="shared" si="16"/>
        <v>1500</v>
      </c>
      <c r="L43" s="319"/>
    </row>
    <row r="44" spans="1:13" s="285" customFormat="1" ht="19.5" customHeight="1" x14ac:dyDescent="0.25">
      <c r="A44" s="282"/>
      <c r="B44" s="283" t="s">
        <v>119</v>
      </c>
      <c r="C44" s="282" t="s">
        <v>30</v>
      </c>
      <c r="D44" s="282" t="s">
        <v>30</v>
      </c>
      <c r="E44" s="282" t="s">
        <v>30</v>
      </c>
      <c r="F44" s="282" t="s">
        <v>30</v>
      </c>
      <c r="G44" s="282" t="s">
        <v>30</v>
      </c>
      <c r="H44" s="55">
        <f>H16+H18+H23+H25+H28+H31+H34+H37+H40+H43</f>
        <v>228140.296</v>
      </c>
      <c r="I44" s="284">
        <f>I16+I18+I23+I25+I28+I31+I34+I37+I40</f>
        <v>178699.296</v>
      </c>
      <c r="J44" s="284">
        <f>J16+J18+J23+J25+J28+J31+J34+J37+J40</f>
        <v>178699.296</v>
      </c>
      <c r="K44" s="284">
        <f>K16+K18+K23+K25+K28+K31+K34+K37+K40+K43</f>
        <v>585538.88799999992</v>
      </c>
      <c r="L44" s="282" t="s">
        <v>30</v>
      </c>
    </row>
    <row r="45" spans="1:13" x14ac:dyDescent="0.25">
      <c r="I45" s="8"/>
      <c r="J45" s="8"/>
      <c r="K45" s="8"/>
      <c r="L45" s="8"/>
    </row>
    <row r="46" spans="1:13" x14ac:dyDescent="0.25">
      <c r="H46" s="14">
        <f>H15/1000</f>
        <v>125.1674</v>
      </c>
      <c r="I46" s="14">
        <f>I15/1000</f>
        <v>125.1674</v>
      </c>
      <c r="J46" s="14">
        <f>J15/1000</f>
        <v>125.1674</v>
      </c>
      <c r="K46" s="14">
        <f>K15/1000</f>
        <v>375.50219999999996</v>
      </c>
      <c r="L46" s="8"/>
    </row>
    <row r="47" spans="1:13" s="161" customFormat="1" x14ac:dyDescent="0.25">
      <c r="A47" s="166"/>
      <c r="H47" s="14">
        <f>H17/1000</f>
        <v>31.711895999999999</v>
      </c>
      <c r="I47" s="14">
        <f>I17/1000</f>
        <v>31.711895999999999</v>
      </c>
      <c r="J47" s="14">
        <f>J17/1000</f>
        <v>31.711895999999999</v>
      </c>
      <c r="K47" s="14">
        <f>K17/1000</f>
        <v>95.135687999999988</v>
      </c>
      <c r="L47" s="10"/>
    </row>
    <row r="48" spans="1:13" s="161" customFormat="1" x14ac:dyDescent="0.25">
      <c r="A48" s="166"/>
      <c r="H48" s="14">
        <f>H44/1000</f>
        <v>228.14029600000001</v>
      </c>
      <c r="I48" s="14">
        <f>I44/1000</f>
        <v>178.699296</v>
      </c>
      <c r="J48" s="14">
        <f>J44/1000</f>
        <v>178.699296</v>
      </c>
      <c r="K48" s="14">
        <f>K44/1000</f>
        <v>585.53888799999993</v>
      </c>
      <c r="L48" s="10"/>
    </row>
    <row r="49" spans="1:12" s="161" customFormat="1" x14ac:dyDescent="0.25">
      <c r="A49" s="166"/>
      <c r="H49" s="10"/>
      <c r="I49" s="10"/>
      <c r="J49" s="10"/>
      <c r="K49" s="10"/>
      <c r="L49" s="10"/>
    </row>
    <row r="50" spans="1:12" x14ac:dyDescent="0.25">
      <c r="H50" s="50"/>
      <c r="I50" s="8"/>
      <c r="J50" s="8"/>
      <c r="K50" s="8"/>
      <c r="L50" s="8"/>
    </row>
    <row r="51" spans="1:12" x14ac:dyDescent="0.25">
      <c r="I51" s="8"/>
      <c r="J51" s="8"/>
      <c r="K51" s="8"/>
      <c r="L51" s="8"/>
    </row>
    <row r="54" spans="1:12" x14ac:dyDescent="0.25">
      <c r="H54" s="215">
        <f>H15+H17+H27+H30+H33+H36</f>
        <v>225049.296</v>
      </c>
      <c r="I54" s="215">
        <f>I15+I17+I27+I30+I33+I36</f>
        <v>178699.296</v>
      </c>
      <c r="J54" s="215">
        <f>J15+J17+J27+J30+J33+J36</f>
        <v>178699.296</v>
      </c>
      <c r="K54" s="215">
        <f>K15+K17+K27+K30+K33+K36</f>
        <v>582447.88799999992</v>
      </c>
    </row>
  </sheetData>
  <autoFilter ref="A10:L46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45">
    <mergeCell ref="K1:L1"/>
    <mergeCell ref="A17:A18"/>
    <mergeCell ref="A22:A23"/>
    <mergeCell ref="B22:B23"/>
    <mergeCell ref="A21:L21"/>
    <mergeCell ref="L17:L18"/>
    <mergeCell ref="L22:L23"/>
    <mergeCell ref="B17:B18"/>
    <mergeCell ref="A15:A16"/>
    <mergeCell ref="B15:B16"/>
    <mergeCell ref="A14:L14"/>
    <mergeCell ref="K4:L4"/>
    <mergeCell ref="A7:L7"/>
    <mergeCell ref="A26:L26"/>
    <mergeCell ref="B27:B28"/>
    <mergeCell ref="A27:A28"/>
    <mergeCell ref="A42:A43"/>
    <mergeCell ref="B42:B43"/>
    <mergeCell ref="A41:H41"/>
    <mergeCell ref="A39:A40"/>
    <mergeCell ref="B39:B40"/>
    <mergeCell ref="A30:A31"/>
    <mergeCell ref="B30:B31"/>
    <mergeCell ref="A29:L29"/>
    <mergeCell ref="A32:L32"/>
    <mergeCell ref="A38:K38"/>
    <mergeCell ref="A33:A34"/>
    <mergeCell ref="B33:B34"/>
    <mergeCell ref="A35:L35"/>
    <mergeCell ref="A36:A37"/>
    <mergeCell ref="B36:B37"/>
    <mergeCell ref="A8:L8"/>
    <mergeCell ref="B19:B20"/>
    <mergeCell ref="A19:A20"/>
    <mergeCell ref="A24:A25"/>
    <mergeCell ref="B24:B25"/>
    <mergeCell ref="L19:L20"/>
    <mergeCell ref="C10:C11"/>
    <mergeCell ref="D10:G10"/>
    <mergeCell ref="H10:K10"/>
    <mergeCell ref="L10:L11"/>
    <mergeCell ref="A13:L13"/>
    <mergeCell ref="A10:A11"/>
    <mergeCell ref="B10:B11"/>
    <mergeCell ref="L15:L16"/>
  </mergeCells>
  <pageMargins left="0.78740157480314965" right="0.78740157480314965" top="1.1811023622047245" bottom="0.3937007874015748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I21"/>
  <sheetViews>
    <sheetView view="pageBreakPreview" topLeftCell="A4" zoomScaleNormal="85" zoomScaleSheetLayoutView="100" workbookViewId="0">
      <selection activeCell="A4" sqref="A4:I21"/>
    </sheetView>
  </sheetViews>
  <sheetFormatPr defaultColWidth="9" defaultRowHeight="15.75" outlineLevelRow="1" outlineLevelCol="1" x14ac:dyDescent="0.25"/>
  <cols>
    <col min="1" max="1" width="5.375" style="142" customWidth="1"/>
    <col min="2" max="2" width="42.125" style="143" customWidth="1"/>
    <col min="3" max="3" width="11.5" style="142" customWidth="1"/>
    <col min="4" max="4" width="14.875" style="143" customWidth="1"/>
    <col min="5" max="5" width="14.875" style="143" hidden="1" customWidth="1" outlineLevel="1"/>
    <col min="6" max="6" width="12.875" style="143" customWidth="1" collapsed="1"/>
    <col min="7" max="9" width="14.625" style="143" customWidth="1"/>
    <col min="10" max="16384" width="9" style="143"/>
  </cols>
  <sheetData>
    <row r="1" spans="1:9" ht="78.75" hidden="1" customHeight="1" outlineLevel="1" x14ac:dyDescent="0.25">
      <c r="G1" s="336" t="s">
        <v>247</v>
      </c>
      <c r="H1" s="336"/>
      <c r="I1" s="336"/>
    </row>
    <row r="2" spans="1:9" hidden="1" outlineLevel="1" x14ac:dyDescent="0.25"/>
    <row r="3" spans="1:9" hidden="1" outlineLevel="1" x14ac:dyDescent="0.25"/>
    <row r="4" spans="1:9" ht="78.75" customHeight="1" collapsed="1" x14ac:dyDescent="0.25">
      <c r="G4" s="337" t="s">
        <v>203</v>
      </c>
      <c r="H4" s="337"/>
      <c r="I4" s="337"/>
    </row>
    <row r="5" spans="1:9" ht="18.75" x14ac:dyDescent="0.25">
      <c r="A5" s="145"/>
    </row>
    <row r="6" spans="1:9" ht="18.75" x14ac:dyDescent="0.25">
      <c r="A6" s="145"/>
    </row>
    <row r="7" spans="1:9" ht="18.75" x14ac:dyDescent="0.25">
      <c r="A7" s="339" t="s">
        <v>1</v>
      </c>
      <c r="B7" s="339"/>
      <c r="C7" s="339"/>
      <c r="D7" s="339"/>
      <c r="E7" s="339"/>
      <c r="F7" s="339"/>
      <c r="G7" s="339"/>
      <c r="H7" s="339"/>
      <c r="I7" s="339"/>
    </row>
    <row r="8" spans="1:9" ht="48" customHeight="1" x14ac:dyDescent="0.25">
      <c r="A8" s="342" t="s">
        <v>80</v>
      </c>
      <c r="B8" s="339"/>
      <c r="C8" s="339"/>
      <c r="D8" s="339"/>
      <c r="E8" s="339"/>
      <c r="F8" s="339"/>
      <c r="G8" s="339"/>
      <c r="H8" s="339"/>
      <c r="I8" s="339"/>
    </row>
    <row r="9" spans="1:9" ht="18.75" x14ac:dyDescent="0.25">
      <c r="A9" s="224"/>
      <c r="B9" s="1"/>
      <c r="C9" s="2"/>
      <c r="D9" s="1"/>
      <c r="E9" s="1"/>
      <c r="F9" s="1"/>
      <c r="G9" s="1"/>
      <c r="H9" s="1"/>
      <c r="I9" s="1"/>
    </row>
    <row r="10" spans="1:9" x14ac:dyDescent="0.25">
      <c r="A10" s="328" t="s">
        <v>19</v>
      </c>
      <c r="B10" s="328" t="s">
        <v>46</v>
      </c>
      <c r="C10" s="328" t="s">
        <v>2</v>
      </c>
      <c r="D10" s="328" t="s">
        <v>47</v>
      </c>
      <c r="E10" s="223"/>
      <c r="F10" s="328" t="s">
        <v>48</v>
      </c>
      <c r="G10" s="328"/>
      <c r="H10" s="328"/>
      <c r="I10" s="328"/>
    </row>
    <row r="11" spans="1:9" x14ac:dyDescent="0.25">
      <c r="A11" s="328"/>
      <c r="B11" s="328"/>
      <c r="C11" s="328"/>
      <c r="D11" s="328"/>
      <c r="E11" s="223">
        <v>2019</v>
      </c>
      <c r="F11" s="223">
        <v>2021</v>
      </c>
      <c r="G11" s="223">
        <v>2022</v>
      </c>
      <c r="H11" s="223">
        <v>2023</v>
      </c>
      <c r="I11" s="223">
        <v>2024</v>
      </c>
    </row>
    <row r="12" spans="1:9" x14ac:dyDescent="0.25">
      <c r="A12" s="223">
        <v>1</v>
      </c>
      <c r="B12" s="223">
        <v>2</v>
      </c>
      <c r="C12" s="223">
        <v>3</v>
      </c>
      <c r="D12" s="223">
        <v>4</v>
      </c>
      <c r="E12" s="223"/>
      <c r="F12" s="223">
        <v>5</v>
      </c>
      <c r="G12" s="223">
        <v>6</v>
      </c>
      <c r="H12" s="223">
        <v>7</v>
      </c>
      <c r="I12" s="223">
        <v>8</v>
      </c>
    </row>
    <row r="13" spans="1:9" x14ac:dyDescent="0.25">
      <c r="A13" s="341" t="str">
        <f>'пр к ПП3'!A13:L13</f>
        <v>Цель. Снижение числа лиц, погибших в результате ДТП, и количества ДТП с пострадавшими.</v>
      </c>
      <c r="B13" s="341"/>
      <c r="C13" s="341"/>
      <c r="D13" s="341"/>
      <c r="E13" s="341"/>
      <c r="F13" s="341"/>
      <c r="G13" s="341"/>
      <c r="H13" s="341"/>
      <c r="I13" s="341"/>
    </row>
    <row r="14" spans="1:9" ht="41.25" customHeight="1" x14ac:dyDescent="0.25">
      <c r="A14" s="341" t="str">
        <f>'пр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41"/>
      <c r="C14" s="341"/>
      <c r="D14" s="341"/>
      <c r="E14" s="341"/>
      <c r="F14" s="341"/>
      <c r="G14" s="341"/>
      <c r="H14" s="341"/>
      <c r="I14" s="341"/>
    </row>
    <row r="15" spans="1:9" s="181" customFormat="1" ht="63" x14ac:dyDescent="0.25">
      <c r="A15" s="220" t="s">
        <v>3</v>
      </c>
      <c r="B15" s="221" t="s">
        <v>139</v>
      </c>
      <c r="C15" s="220" t="s">
        <v>141</v>
      </c>
      <c r="D15" s="220" t="s">
        <v>145</v>
      </c>
      <c r="E15" s="121" t="e">
        <f t="shared" ref="E15:I15" si="0">E16/E17*100000</f>
        <v>#DIV/0!</v>
      </c>
      <c r="F15" s="274">
        <v>6</v>
      </c>
      <c r="G15" s="274">
        <f t="shared" si="0"/>
        <v>6.5910888478776704</v>
      </c>
      <c r="H15" s="274">
        <f t="shared" si="0"/>
        <v>6.6471683063015163</v>
      </c>
      <c r="I15" s="274">
        <f t="shared" si="0"/>
        <v>6.7051092932814811</v>
      </c>
    </row>
    <row r="16" spans="1:9" s="182" customFormat="1" ht="31.5" hidden="1" outlineLevel="1" x14ac:dyDescent="0.25">
      <c r="A16" s="11"/>
      <c r="B16" s="256" t="s">
        <v>81</v>
      </c>
      <c r="C16" s="11"/>
      <c r="D16" s="11"/>
      <c r="E16" s="151"/>
      <c r="F16" s="275">
        <v>5</v>
      </c>
      <c r="G16" s="275">
        <f>'пр к пасп'!J26</f>
        <v>1</v>
      </c>
      <c r="H16" s="275">
        <f>'пр к пасп'!K26</f>
        <v>1</v>
      </c>
      <c r="I16" s="275">
        <f>'пр к пасп'!L26</f>
        <v>1</v>
      </c>
    </row>
    <row r="17" spans="1:9" s="182" customFormat="1" hidden="1" outlineLevel="1" x14ac:dyDescent="0.25">
      <c r="A17" s="11"/>
      <c r="B17" s="256" t="s">
        <v>124</v>
      </c>
      <c r="C17" s="11"/>
      <c r="D17" s="11"/>
      <c r="E17" s="151"/>
      <c r="F17" s="275">
        <f>'пр к пасп'!L24</f>
        <v>15300</v>
      </c>
      <c r="G17" s="275">
        <v>15172</v>
      </c>
      <c r="H17" s="275">
        <v>15044</v>
      </c>
      <c r="I17" s="275">
        <v>14914</v>
      </c>
    </row>
    <row r="18" spans="1:9" s="182" customFormat="1" hidden="1" outlineLevel="1" x14ac:dyDescent="0.25">
      <c r="A18" s="11"/>
      <c r="B18" s="256" t="s">
        <v>229</v>
      </c>
      <c r="C18" s="11"/>
      <c r="D18" s="11"/>
      <c r="E18" s="151"/>
      <c r="F18" s="275">
        <v>4300</v>
      </c>
      <c r="G18" s="275">
        <f>ROUND(G17/F17*F18,0)</f>
        <v>4264</v>
      </c>
      <c r="H18" s="275">
        <f t="shared" ref="H18:I18" si="1">ROUND(H17/G17*G18,0)</f>
        <v>4228</v>
      </c>
      <c r="I18" s="275">
        <f t="shared" si="1"/>
        <v>4191</v>
      </c>
    </row>
    <row r="19" spans="1:9" s="183" customFormat="1" ht="63" collapsed="1" x14ac:dyDescent="0.25">
      <c r="A19" s="257" t="s">
        <v>83</v>
      </c>
      <c r="B19" s="237" t="s">
        <v>140</v>
      </c>
      <c r="C19" s="223" t="s">
        <v>142</v>
      </c>
      <c r="D19" s="223" t="s">
        <v>145</v>
      </c>
      <c r="E19" s="146"/>
      <c r="F19" s="274">
        <v>3</v>
      </c>
      <c r="G19" s="274">
        <f t="shared" ref="G19:I19" si="2">G16/G18*10000</f>
        <v>2.3452157598499062</v>
      </c>
      <c r="H19" s="274">
        <f t="shared" si="2"/>
        <v>2.3651844843897822</v>
      </c>
      <c r="I19" s="274">
        <f t="shared" si="2"/>
        <v>2.3860653781913626</v>
      </c>
    </row>
    <row r="20" spans="1:9" s="183" customFormat="1" ht="31.5" x14ac:dyDescent="0.25">
      <c r="A20" s="223" t="s">
        <v>85</v>
      </c>
      <c r="B20" s="237" t="s">
        <v>143</v>
      </c>
      <c r="C20" s="223" t="s">
        <v>144</v>
      </c>
      <c r="D20" s="223" t="s">
        <v>145</v>
      </c>
      <c r="E20" s="146"/>
      <c r="F20" s="274">
        <v>1</v>
      </c>
      <c r="G20" s="274">
        <v>0</v>
      </c>
      <c r="H20" s="274">
        <v>0</v>
      </c>
      <c r="I20" s="274">
        <v>0</v>
      </c>
    </row>
    <row r="21" spans="1:9" ht="63" x14ac:dyDescent="0.25">
      <c r="A21" s="223" t="s">
        <v>86</v>
      </c>
      <c r="B21" s="237" t="s">
        <v>291</v>
      </c>
      <c r="C21" s="223" t="s">
        <v>134</v>
      </c>
      <c r="D21" s="223" t="s">
        <v>292</v>
      </c>
      <c r="E21" s="146"/>
      <c r="F21" s="259">
        <v>10</v>
      </c>
      <c r="G21" s="259">
        <v>20</v>
      </c>
      <c r="H21" s="259">
        <v>30</v>
      </c>
      <c r="I21" s="259">
        <v>35</v>
      </c>
    </row>
  </sheetData>
  <mergeCells count="11">
    <mergeCell ref="G1:I1"/>
    <mergeCell ref="A13:I13"/>
    <mergeCell ref="A14:I14"/>
    <mergeCell ref="G4:I4"/>
    <mergeCell ref="A7:I7"/>
    <mergeCell ref="A8:I8"/>
    <mergeCell ref="A10:A11"/>
    <mergeCell ref="B10:B11"/>
    <mergeCell ref="C10:C11"/>
    <mergeCell ref="D10:D11"/>
    <mergeCell ref="F10:I10"/>
  </mergeCells>
  <pageMargins left="0.78740157480314965" right="0.78740157480314965" top="1.1811023622047245" bottom="0.39370078740157483" header="0.31496062992125984" footer="0.31496062992125984"/>
  <pageSetup paperSize="9" scale="92" fitToHeight="0" orientation="landscape" r:id="rId1"/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28"/>
  <sheetViews>
    <sheetView view="pageBreakPreview" topLeftCell="A4" zoomScale="85" zoomScaleNormal="85" zoomScaleSheetLayoutView="85" workbookViewId="0">
      <selection activeCell="A4" sqref="A4:I21"/>
    </sheetView>
  </sheetViews>
  <sheetFormatPr defaultColWidth="9" defaultRowHeight="18.75" outlineLevelRow="2" x14ac:dyDescent="0.25"/>
  <cols>
    <col min="1" max="1" width="4.75" style="156" customWidth="1"/>
    <col min="2" max="2" width="38.625" style="157" customWidth="1"/>
    <col min="3" max="3" width="23.5" style="157" customWidth="1"/>
    <col min="4" max="4" width="6.125" style="157" customWidth="1"/>
    <col min="5" max="5" width="6.875" style="157" customWidth="1"/>
    <col min="6" max="6" width="12" style="157" customWidth="1"/>
    <col min="7" max="7" width="5.75" style="157" customWidth="1"/>
    <col min="8" max="8" width="11.375" style="157" customWidth="1"/>
    <col min="9" max="10" width="9.625" style="157" customWidth="1"/>
    <col min="11" max="11" width="17" style="157" customWidth="1"/>
    <col min="12" max="12" width="24.5" style="157" customWidth="1"/>
    <col min="13" max="16384" width="9" style="157"/>
  </cols>
  <sheetData>
    <row r="1" spans="1:12" ht="84" hidden="1" customHeight="1" outlineLevel="1" x14ac:dyDescent="0.3">
      <c r="K1" s="352" t="s">
        <v>246</v>
      </c>
      <c r="L1" s="352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A4" s="137"/>
      <c r="B4" s="8"/>
      <c r="C4" s="8"/>
      <c r="D4" s="8"/>
      <c r="E4" s="8"/>
      <c r="F4" s="8"/>
      <c r="G4" s="8"/>
      <c r="H4" s="8"/>
      <c r="I4" s="8"/>
      <c r="J4" s="8"/>
      <c r="K4" s="353" t="s">
        <v>204</v>
      </c>
      <c r="L4" s="353"/>
    </row>
    <row r="5" spans="1:12" x14ac:dyDescent="0.25">
      <c r="A5" s="137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137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356" t="s">
        <v>1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</row>
    <row r="8" spans="1:12" x14ac:dyDescent="0.25">
      <c r="A8" s="356" t="s">
        <v>318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</row>
    <row r="9" spans="1:12" x14ac:dyDescent="0.25">
      <c r="A9" s="137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169" customFormat="1" ht="15.75" x14ac:dyDescent="0.25">
      <c r="A10" s="333" t="s">
        <v>19</v>
      </c>
      <c r="B10" s="333" t="s">
        <v>49</v>
      </c>
      <c r="C10" s="333" t="s">
        <v>25</v>
      </c>
      <c r="D10" s="333" t="s">
        <v>23</v>
      </c>
      <c r="E10" s="333"/>
      <c r="F10" s="333"/>
      <c r="G10" s="333"/>
      <c r="H10" s="333" t="s">
        <v>50</v>
      </c>
      <c r="I10" s="333"/>
      <c r="J10" s="333"/>
      <c r="K10" s="333"/>
      <c r="L10" s="333" t="s">
        <v>51</v>
      </c>
    </row>
    <row r="11" spans="1:12" s="169" customFormat="1" ht="93" customHeight="1" x14ac:dyDescent="0.25">
      <c r="A11" s="333"/>
      <c r="B11" s="333"/>
      <c r="C11" s="333"/>
      <c r="D11" s="134" t="s">
        <v>25</v>
      </c>
      <c r="E11" s="134" t="s">
        <v>26</v>
      </c>
      <c r="F11" s="134" t="s">
        <v>27</v>
      </c>
      <c r="G11" s="134" t="s">
        <v>28</v>
      </c>
      <c r="H11" s="141">
        <v>2022</v>
      </c>
      <c r="I11" s="141">
        <v>2023</v>
      </c>
      <c r="J11" s="141">
        <v>2024</v>
      </c>
      <c r="K11" s="134" t="s">
        <v>52</v>
      </c>
      <c r="L11" s="333"/>
    </row>
    <row r="12" spans="1:12" s="169" customFormat="1" ht="15.75" x14ac:dyDescent="0.25">
      <c r="A12" s="134">
        <v>1</v>
      </c>
      <c r="B12" s="134">
        <v>2</v>
      </c>
      <c r="C12" s="134">
        <v>3</v>
      </c>
      <c r="D12" s="134">
        <v>4</v>
      </c>
      <c r="E12" s="134">
        <v>5</v>
      </c>
      <c r="F12" s="134">
        <v>6</v>
      </c>
      <c r="G12" s="134">
        <v>7</v>
      </c>
      <c r="H12" s="134">
        <v>8</v>
      </c>
      <c r="I12" s="134">
        <v>9</v>
      </c>
      <c r="J12" s="134">
        <v>10</v>
      </c>
      <c r="K12" s="134">
        <v>11</v>
      </c>
      <c r="L12" s="134">
        <v>12</v>
      </c>
    </row>
    <row r="13" spans="1:12" s="170" customFormat="1" ht="18.75" customHeight="1" x14ac:dyDescent="0.25">
      <c r="A13" s="396" t="s">
        <v>167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</row>
    <row r="14" spans="1:12" s="170" customFormat="1" ht="15.75" x14ac:dyDescent="0.25">
      <c r="A14" s="396" t="s">
        <v>168</v>
      </c>
      <c r="B14" s="396"/>
      <c r="C14" s="396"/>
      <c r="D14" s="396"/>
      <c r="E14" s="396"/>
      <c r="F14" s="396"/>
      <c r="G14" s="396"/>
      <c r="H14" s="396"/>
      <c r="I14" s="396"/>
      <c r="J14" s="396"/>
      <c r="K14" s="396"/>
      <c r="L14" s="396"/>
    </row>
    <row r="15" spans="1:12" s="185" customFormat="1" ht="32.25" customHeight="1" outlineLevel="2" x14ac:dyDescent="0.25">
      <c r="A15" s="333" t="s">
        <v>3</v>
      </c>
      <c r="B15" s="390" t="s">
        <v>230</v>
      </c>
      <c r="C15" s="390" t="s">
        <v>214</v>
      </c>
      <c r="D15" s="389">
        <v>243</v>
      </c>
      <c r="E15" s="391" t="s">
        <v>212</v>
      </c>
      <c r="F15" s="140" t="s">
        <v>211</v>
      </c>
      <c r="G15" s="389">
        <v>244</v>
      </c>
      <c r="H15" s="68">
        <v>0</v>
      </c>
      <c r="I15" s="68">
        <v>0</v>
      </c>
      <c r="J15" s="68">
        <v>0</v>
      </c>
      <c r="K15" s="68">
        <f>SUM(H15:J15)</f>
        <v>0</v>
      </c>
      <c r="L15" s="333"/>
    </row>
    <row r="16" spans="1:12" s="185" customFormat="1" ht="32.25" customHeight="1" outlineLevel="2" x14ac:dyDescent="0.25">
      <c r="A16" s="333"/>
      <c r="B16" s="390"/>
      <c r="C16" s="390"/>
      <c r="D16" s="389"/>
      <c r="E16" s="391"/>
      <c r="F16" s="140" t="s">
        <v>213</v>
      </c>
      <c r="G16" s="389"/>
      <c r="H16" s="68">
        <v>0</v>
      </c>
      <c r="I16" s="68">
        <v>0</v>
      </c>
      <c r="J16" s="68">
        <v>0</v>
      </c>
      <c r="K16" s="68">
        <f>SUM(H16:J16)</f>
        <v>0</v>
      </c>
      <c r="L16" s="333"/>
    </row>
    <row r="17" spans="1:12" s="185" customFormat="1" ht="15.75" outlineLevel="2" x14ac:dyDescent="0.25">
      <c r="A17" s="333"/>
      <c r="B17" s="390"/>
      <c r="C17" s="70" t="s">
        <v>222</v>
      </c>
      <c r="D17" s="56" t="s">
        <v>30</v>
      </c>
      <c r="E17" s="56" t="s">
        <v>30</v>
      </c>
      <c r="F17" s="56" t="s">
        <v>30</v>
      </c>
      <c r="G17" s="56" t="s">
        <v>30</v>
      </c>
      <c r="H17" s="90">
        <f>H15+H16</f>
        <v>0</v>
      </c>
      <c r="I17" s="90">
        <f t="shared" ref="I17:J17" si="0">I15+I16</f>
        <v>0</v>
      </c>
      <c r="J17" s="90">
        <f t="shared" si="0"/>
        <v>0</v>
      </c>
      <c r="K17" s="90">
        <f t="shared" ref="K17" si="1">SUM(H17:J17)</f>
        <v>0</v>
      </c>
      <c r="L17" s="333"/>
    </row>
    <row r="18" spans="1:12" s="185" customFormat="1" ht="72" customHeight="1" outlineLevel="1" x14ac:dyDescent="0.25">
      <c r="A18" s="333" t="s">
        <v>3</v>
      </c>
      <c r="B18" s="390" t="s">
        <v>276</v>
      </c>
      <c r="C18" s="138" t="s">
        <v>66</v>
      </c>
      <c r="D18" s="139">
        <v>247</v>
      </c>
      <c r="E18" s="140" t="s">
        <v>62</v>
      </c>
      <c r="F18" s="140" t="s">
        <v>323</v>
      </c>
      <c r="G18" s="139">
        <v>540</v>
      </c>
      <c r="H18" s="184"/>
      <c r="I18" s="184"/>
      <c r="J18" s="184"/>
      <c r="K18" s="184">
        <f t="shared" ref="K18" si="2">SUM(H18:J18)</f>
        <v>0</v>
      </c>
      <c r="L18" s="333"/>
    </row>
    <row r="19" spans="1:12" s="185" customFormat="1" ht="15.75" outlineLevel="1" x14ac:dyDescent="0.25">
      <c r="A19" s="333"/>
      <c r="B19" s="390"/>
      <c r="C19" s="70" t="s">
        <v>258</v>
      </c>
      <c r="D19" s="56" t="s">
        <v>30</v>
      </c>
      <c r="E19" s="56" t="s">
        <v>30</v>
      </c>
      <c r="F19" s="56" t="s">
        <v>30</v>
      </c>
      <c r="G19" s="56" t="s">
        <v>30</v>
      </c>
      <c r="H19" s="90">
        <f>H18</f>
        <v>0</v>
      </c>
      <c r="I19" s="90">
        <f t="shared" ref="I19:J19" si="3">I18</f>
        <v>0</v>
      </c>
      <c r="J19" s="90">
        <f t="shared" si="3"/>
        <v>0</v>
      </c>
      <c r="K19" s="90">
        <f t="shared" ref="K19:K21" si="4">SUM(H19:J19)</f>
        <v>0</v>
      </c>
      <c r="L19" s="333"/>
    </row>
    <row r="20" spans="1:12" s="185" customFormat="1" ht="63" outlineLevel="1" x14ac:dyDescent="0.25">
      <c r="A20" s="333" t="s">
        <v>83</v>
      </c>
      <c r="B20" s="390" t="s">
        <v>248</v>
      </c>
      <c r="C20" s="138" t="s">
        <v>249</v>
      </c>
      <c r="D20" s="139">
        <v>244</v>
      </c>
      <c r="E20" s="140" t="s">
        <v>62</v>
      </c>
      <c r="F20" s="140" t="s">
        <v>250</v>
      </c>
      <c r="G20" s="139">
        <v>244</v>
      </c>
      <c r="H20" s="68">
        <v>0</v>
      </c>
      <c r="I20" s="68">
        <v>0</v>
      </c>
      <c r="J20" s="68">
        <v>0</v>
      </c>
      <c r="K20" s="68">
        <f t="shared" si="4"/>
        <v>0</v>
      </c>
      <c r="L20" s="134"/>
    </row>
    <row r="21" spans="1:12" s="185" customFormat="1" ht="15.75" outlineLevel="1" x14ac:dyDescent="0.25">
      <c r="A21" s="333"/>
      <c r="B21" s="390"/>
      <c r="C21" s="70" t="s">
        <v>258</v>
      </c>
      <c r="D21" s="56" t="s">
        <v>30</v>
      </c>
      <c r="E21" s="56" t="s">
        <v>30</v>
      </c>
      <c r="F21" s="56" t="s">
        <v>30</v>
      </c>
      <c r="G21" s="56" t="s">
        <v>30</v>
      </c>
      <c r="H21" s="90">
        <f>H20</f>
        <v>0</v>
      </c>
      <c r="I21" s="90">
        <f t="shared" ref="I21:J23" si="5">I20</f>
        <v>0</v>
      </c>
      <c r="J21" s="90">
        <f t="shared" si="5"/>
        <v>0</v>
      </c>
      <c r="K21" s="90">
        <f t="shared" si="4"/>
        <v>0</v>
      </c>
      <c r="L21" s="134"/>
    </row>
    <row r="22" spans="1:12" s="185" customFormat="1" ht="63" outlineLevel="1" x14ac:dyDescent="0.25">
      <c r="A22" s="394" t="s">
        <v>85</v>
      </c>
      <c r="B22" s="392" t="s">
        <v>283</v>
      </c>
      <c r="C22" s="211" t="s">
        <v>66</v>
      </c>
      <c r="D22" s="212" t="s">
        <v>284</v>
      </c>
      <c r="E22" s="212" t="s">
        <v>62</v>
      </c>
      <c r="F22" s="212" t="s">
        <v>285</v>
      </c>
      <c r="G22" s="212" t="s">
        <v>286</v>
      </c>
      <c r="H22" s="213">
        <v>0</v>
      </c>
      <c r="I22" s="213">
        <v>0</v>
      </c>
      <c r="J22" s="213">
        <v>0</v>
      </c>
      <c r="K22" s="213">
        <f>J22+I22+H22</f>
        <v>0</v>
      </c>
      <c r="L22" s="134"/>
    </row>
    <row r="23" spans="1:12" s="185" customFormat="1" ht="15.75" outlineLevel="1" x14ac:dyDescent="0.25">
      <c r="A23" s="395"/>
      <c r="B23" s="393"/>
      <c r="C23" s="70" t="s">
        <v>258</v>
      </c>
      <c r="D23" s="56" t="s">
        <v>30</v>
      </c>
      <c r="E23" s="56" t="s">
        <v>30</v>
      </c>
      <c r="F23" s="56" t="s">
        <v>30</v>
      </c>
      <c r="G23" s="56" t="s">
        <v>30</v>
      </c>
      <c r="H23" s="90">
        <f>H22</f>
        <v>0</v>
      </c>
      <c r="I23" s="90">
        <f t="shared" si="5"/>
        <v>0</v>
      </c>
      <c r="J23" s="90">
        <f t="shared" si="5"/>
        <v>0</v>
      </c>
      <c r="K23" s="90">
        <f t="shared" ref="K23" si="6">SUM(H23:J23)</f>
        <v>0</v>
      </c>
      <c r="L23" s="134"/>
    </row>
    <row r="24" spans="1:12" x14ac:dyDescent="0.25">
      <c r="A24" s="53"/>
      <c r="B24" s="54" t="s">
        <v>119</v>
      </c>
      <c r="C24" s="53" t="s">
        <v>30</v>
      </c>
      <c r="D24" s="53" t="s">
        <v>30</v>
      </c>
      <c r="E24" s="53" t="s">
        <v>30</v>
      </c>
      <c r="F24" s="53" t="s">
        <v>30</v>
      </c>
      <c r="G24" s="53" t="s">
        <v>30</v>
      </c>
      <c r="H24" s="214">
        <f>H17+H19+H21+H23</f>
        <v>0</v>
      </c>
      <c r="I24" s="214">
        <f t="shared" ref="I24:K24" si="7">I17+I19+I21+I23</f>
        <v>0</v>
      </c>
      <c r="J24" s="214">
        <f t="shared" si="7"/>
        <v>0</v>
      </c>
      <c r="K24" s="214">
        <f t="shared" si="7"/>
        <v>0</v>
      </c>
      <c r="L24" s="53" t="s">
        <v>30</v>
      </c>
    </row>
    <row r="27" spans="1:12" x14ac:dyDescent="0.25">
      <c r="H27" s="167">
        <f>H18/1000</f>
        <v>0</v>
      </c>
      <c r="I27" s="167">
        <f>I18/1000</f>
        <v>0</v>
      </c>
      <c r="J27" s="167">
        <f>J18/1000</f>
        <v>0</v>
      </c>
      <c r="K27" s="167">
        <f>K18/1000</f>
        <v>0</v>
      </c>
    </row>
    <row r="28" spans="1:12" x14ac:dyDescent="0.25">
      <c r="H28" s="167">
        <f>H24/1000</f>
        <v>0</v>
      </c>
      <c r="I28" s="167">
        <f t="shared" ref="I28:K28" si="8">I24/1000</f>
        <v>0</v>
      </c>
      <c r="J28" s="167">
        <f t="shared" si="8"/>
        <v>0</v>
      </c>
      <c r="K28" s="167">
        <f t="shared" si="8"/>
        <v>0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6">
    <mergeCell ref="B22:B23"/>
    <mergeCell ref="A22:A23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H12"/>
  <sheetViews>
    <sheetView view="pageBreakPreview" zoomScale="85" zoomScaleNormal="70" zoomScaleSheetLayoutView="85" workbookViewId="0">
      <selection activeCell="A4" sqref="A4:I21"/>
    </sheetView>
  </sheetViews>
  <sheetFormatPr defaultColWidth="9" defaultRowHeight="15.75" x14ac:dyDescent="0.25"/>
  <cols>
    <col min="1" max="1" width="5.375" style="142" customWidth="1"/>
    <col min="2" max="2" width="42.125" style="143" customWidth="1"/>
    <col min="3" max="3" width="11.5" style="142" customWidth="1"/>
    <col min="4" max="4" width="14.875" style="143" customWidth="1"/>
    <col min="5" max="5" width="12.875" style="143" customWidth="1"/>
    <col min="6" max="8" width="12" style="143" customWidth="1"/>
    <col min="9" max="16384" width="9" style="143"/>
  </cols>
  <sheetData>
    <row r="1" spans="1:8" ht="92.25" customHeight="1" x14ac:dyDescent="0.25">
      <c r="A1" s="2"/>
      <c r="B1" s="1"/>
      <c r="C1" s="2"/>
      <c r="D1" s="1"/>
      <c r="E1" s="1"/>
      <c r="F1" s="337" t="s">
        <v>205</v>
      </c>
      <c r="G1" s="337"/>
      <c r="H1" s="337"/>
    </row>
    <row r="2" spans="1:8" ht="18.75" x14ac:dyDescent="0.25">
      <c r="A2" s="224"/>
      <c r="B2" s="1"/>
      <c r="C2" s="2"/>
      <c r="D2" s="1"/>
      <c r="E2" s="1"/>
      <c r="F2" s="1"/>
      <c r="G2" s="1"/>
      <c r="H2" s="1"/>
    </row>
    <row r="3" spans="1:8" ht="18.75" x14ac:dyDescent="0.25">
      <c r="A3" s="224"/>
      <c r="B3" s="1"/>
      <c r="C3" s="2"/>
      <c r="D3" s="1"/>
      <c r="E3" s="1"/>
      <c r="F3" s="1"/>
      <c r="G3" s="1"/>
      <c r="H3" s="1"/>
    </row>
    <row r="4" spans="1:8" ht="18.75" x14ac:dyDescent="0.25">
      <c r="A4" s="339" t="s">
        <v>1</v>
      </c>
      <c r="B4" s="339"/>
      <c r="C4" s="339"/>
      <c r="D4" s="339"/>
      <c r="E4" s="339"/>
      <c r="F4" s="339"/>
      <c r="G4" s="339"/>
      <c r="H4" s="339"/>
    </row>
    <row r="5" spans="1:8" ht="48" customHeight="1" x14ac:dyDescent="0.25">
      <c r="A5" s="342" t="s">
        <v>160</v>
      </c>
      <c r="B5" s="339"/>
      <c r="C5" s="339"/>
      <c r="D5" s="339"/>
      <c r="E5" s="339"/>
      <c r="F5" s="339"/>
      <c r="G5" s="339"/>
      <c r="H5" s="339"/>
    </row>
    <row r="6" spans="1:8" ht="18.75" x14ac:dyDescent="0.25">
      <c r="A6" s="224"/>
      <c r="B6" s="1"/>
      <c r="C6" s="2"/>
      <c r="D6" s="1"/>
      <c r="E6" s="1"/>
      <c r="F6" s="1"/>
      <c r="G6" s="1"/>
      <c r="H6" s="1"/>
    </row>
    <row r="7" spans="1:8" x14ac:dyDescent="0.25">
      <c r="A7" s="328" t="s">
        <v>19</v>
      </c>
      <c r="B7" s="328" t="s">
        <v>46</v>
      </c>
      <c r="C7" s="328" t="s">
        <v>2</v>
      </c>
      <c r="D7" s="328" t="s">
        <v>47</v>
      </c>
      <c r="E7" s="328" t="s">
        <v>48</v>
      </c>
      <c r="F7" s="328"/>
      <c r="G7" s="328"/>
      <c r="H7" s="328"/>
    </row>
    <row r="8" spans="1:8" x14ac:dyDescent="0.25">
      <c r="A8" s="328"/>
      <c r="B8" s="328"/>
      <c r="C8" s="328"/>
      <c r="D8" s="328"/>
      <c r="E8" s="223">
        <v>2021</v>
      </c>
      <c r="F8" s="223">
        <v>2022</v>
      </c>
      <c r="G8" s="223">
        <v>2023</v>
      </c>
      <c r="H8" s="223">
        <v>2024</v>
      </c>
    </row>
    <row r="9" spans="1:8" x14ac:dyDescent="0.25">
      <c r="A9" s="223">
        <v>1</v>
      </c>
      <c r="B9" s="223">
        <v>2</v>
      </c>
      <c r="C9" s="223">
        <v>3</v>
      </c>
      <c r="D9" s="223">
        <v>4</v>
      </c>
      <c r="E9" s="223">
        <v>5</v>
      </c>
      <c r="F9" s="223">
        <v>6</v>
      </c>
      <c r="G9" s="223">
        <v>7</v>
      </c>
      <c r="H9" s="223">
        <v>8</v>
      </c>
    </row>
    <row r="10" spans="1:8" ht="36" customHeight="1" x14ac:dyDescent="0.25">
      <c r="A10" s="341" t="str">
        <f>'пр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41"/>
      <c r="C10" s="341"/>
      <c r="D10" s="341"/>
      <c r="E10" s="341"/>
      <c r="F10" s="341"/>
      <c r="G10" s="341"/>
      <c r="H10" s="341"/>
    </row>
    <row r="11" spans="1:8" ht="20.25" customHeight="1" x14ac:dyDescent="0.25">
      <c r="A11" s="341" t="str">
        <f>'пр к ПП4'!A14</f>
        <v>Задача 1. Создание условий, обеспечивающих доступность внутризоновой, междугородней и международной связи.</v>
      </c>
      <c r="B11" s="341"/>
      <c r="C11" s="341"/>
      <c r="D11" s="341"/>
      <c r="E11" s="341"/>
      <c r="F11" s="341"/>
      <c r="G11" s="341"/>
      <c r="H11" s="341"/>
    </row>
    <row r="12" spans="1:8" s="186" customFormat="1" ht="82.5" customHeight="1" x14ac:dyDescent="0.25">
      <c r="A12" s="223" t="s">
        <v>3</v>
      </c>
      <c r="B12" s="229" t="s">
        <v>235</v>
      </c>
      <c r="C12" s="223" t="s">
        <v>73</v>
      </c>
      <c r="D12" s="223" t="s">
        <v>206</v>
      </c>
      <c r="E12" s="265">
        <v>1</v>
      </c>
      <c r="F12" s="265">
        <v>1</v>
      </c>
      <c r="G12" s="265">
        <f t="shared" ref="G12:H12" si="0">F12</f>
        <v>1</v>
      </c>
      <c r="H12" s="265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S25"/>
  <sheetViews>
    <sheetView view="pageBreakPreview" topLeftCell="A4" zoomScaleNormal="100" zoomScaleSheetLayoutView="100" workbookViewId="0">
      <selection activeCell="A4" sqref="A4:I21"/>
    </sheetView>
  </sheetViews>
  <sheetFormatPr defaultColWidth="9" defaultRowHeight="18.75" outlineLevelRow="1" x14ac:dyDescent="0.25"/>
  <cols>
    <col min="1" max="1" width="4.75" style="157" customWidth="1"/>
    <col min="2" max="2" width="49.625" style="157" customWidth="1"/>
    <col min="3" max="3" width="24.75" style="157" customWidth="1"/>
    <col min="4" max="5" width="7.375" style="157" customWidth="1"/>
    <col min="6" max="6" width="21" style="157" customWidth="1"/>
    <col min="7" max="7" width="5.75" style="157" customWidth="1"/>
    <col min="8" max="9" width="15.25" style="157" bestFit="1" customWidth="1"/>
    <col min="10" max="10" width="13.75" style="157" bestFit="1" customWidth="1"/>
    <col min="11" max="11" width="20" style="157" customWidth="1"/>
    <col min="12" max="12" width="24.5" style="157" customWidth="1"/>
    <col min="13" max="16384" width="9" style="157"/>
  </cols>
  <sheetData>
    <row r="1" spans="1:12" ht="84" hidden="1" customHeight="1" outlineLevel="1" x14ac:dyDescent="0.3">
      <c r="K1" s="352" t="s">
        <v>246</v>
      </c>
      <c r="L1" s="352"/>
    </row>
    <row r="2" spans="1:12" hidden="1" outlineLevel="1" x14ac:dyDescent="0.25"/>
    <row r="3" spans="1:12" hidden="1" outlineLevel="1" x14ac:dyDescent="0.25"/>
    <row r="4" spans="1:12" ht="63" customHeight="1" collapsed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353" t="s">
        <v>207</v>
      </c>
      <c r="L4" s="353"/>
    </row>
    <row r="5" spans="1:12" x14ac:dyDescent="0.25">
      <c r="A5" s="9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356" t="s">
        <v>1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</row>
    <row r="8" spans="1:12" x14ac:dyDescent="0.25">
      <c r="A8" s="356" t="s">
        <v>171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</row>
    <row r="9" spans="1:12" x14ac:dyDescent="0.25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169" customFormat="1" ht="15.75" x14ac:dyDescent="0.25">
      <c r="A10" s="333" t="s">
        <v>19</v>
      </c>
      <c r="B10" s="333" t="s">
        <v>49</v>
      </c>
      <c r="C10" s="333" t="s">
        <v>25</v>
      </c>
      <c r="D10" s="333" t="s">
        <v>23</v>
      </c>
      <c r="E10" s="333"/>
      <c r="F10" s="333"/>
      <c r="G10" s="333"/>
      <c r="H10" s="333" t="s">
        <v>50</v>
      </c>
      <c r="I10" s="333"/>
      <c r="J10" s="333"/>
      <c r="K10" s="333"/>
      <c r="L10" s="333" t="s">
        <v>51</v>
      </c>
    </row>
    <row r="11" spans="1:12" s="169" customFormat="1" ht="93" customHeight="1" x14ac:dyDescent="0.25">
      <c r="A11" s="333"/>
      <c r="B11" s="333"/>
      <c r="C11" s="333"/>
      <c r="D11" s="134" t="s">
        <v>25</v>
      </c>
      <c r="E11" s="134" t="s">
        <v>26</v>
      </c>
      <c r="F11" s="134" t="s">
        <v>27</v>
      </c>
      <c r="G11" s="134" t="s">
        <v>28</v>
      </c>
      <c r="H11" s="141">
        <v>2022</v>
      </c>
      <c r="I11" s="141">
        <v>2023</v>
      </c>
      <c r="J11" s="141">
        <v>2024</v>
      </c>
      <c r="K11" s="134" t="s">
        <v>52</v>
      </c>
      <c r="L11" s="333"/>
    </row>
    <row r="12" spans="1:12" s="169" customFormat="1" ht="15.75" x14ac:dyDescent="0.25">
      <c r="A12" s="134">
        <v>1</v>
      </c>
      <c r="B12" s="134">
        <v>2</v>
      </c>
      <c r="C12" s="134">
        <v>3</v>
      </c>
      <c r="D12" s="134">
        <v>4</v>
      </c>
      <c r="E12" s="134">
        <v>5</v>
      </c>
      <c r="F12" s="134">
        <v>6</v>
      </c>
      <c r="G12" s="134">
        <v>7</v>
      </c>
      <c r="H12" s="134">
        <v>8</v>
      </c>
      <c r="I12" s="134">
        <v>9</v>
      </c>
      <c r="J12" s="134">
        <v>10</v>
      </c>
      <c r="K12" s="134">
        <v>11</v>
      </c>
      <c r="L12" s="134">
        <v>12</v>
      </c>
    </row>
    <row r="13" spans="1:12" s="170" customFormat="1" ht="18.75" customHeight="1" x14ac:dyDescent="0.25">
      <c r="A13" s="377" t="s">
        <v>169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9"/>
    </row>
    <row r="14" spans="1:12" s="170" customFormat="1" ht="18" customHeight="1" x14ac:dyDescent="0.25">
      <c r="A14" s="377" t="s">
        <v>170</v>
      </c>
      <c r="B14" s="378"/>
      <c r="C14" s="378"/>
      <c r="D14" s="378"/>
      <c r="E14" s="378"/>
      <c r="F14" s="378"/>
      <c r="G14" s="378"/>
      <c r="H14" s="378"/>
      <c r="I14" s="378"/>
      <c r="J14" s="378"/>
      <c r="K14" s="378"/>
      <c r="L14" s="379"/>
    </row>
    <row r="15" spans="1:12" s="185" customFormat="1" ht="67.5" customHeight="1" x14ac:dyDescent="0.25">
      <c r="A15" s="343" t="s">
        <v>3</v>
      </c>
      <c r="B15" s="346" t="s">
        <v>234</v>
      </c>
      <c r="C15" s="134" t="s">
        <v>65</v>
      </c>
      <c r="D15" s="134">
        <v>241</v>
      </c>
      <c r="E15" s="59" t="s">
        <v>67</v>
      </c>
      <c r="F15" s="94" t="s">
        <v>195</v>
      </c>
      <c r="G15" s="134">
        <v>244</v>
      </c>
      <c r="H15" s="115">
        <v>10600</v>
      </c>
      <c r="I15" s="115">
        <v>10600</v>
      </c>
      <c r="J15" s="115">
        <f>I15</f>
        <v>10600</v>
      </c>
      <c r="K15" s="33">
        <f t="shared" ref="K15:K16" si="0">SUM(H15:J15)</f>
        <v>31800</v>
      </c>
      <c r="L15" s="343" t="s">
        <v>146</v>
      </c>
    </row>
    <row r="16" spans="1:12" s="185" customFormat="1" ht="15.75" x14ac:dyDescent="0.25">
      <c r="A16" s="345"/>
      <c r="B16" s="348"/>
      <c r="C16" s="70" t="s">
        <v>258</v>
      </c>
      <c r="D16" s="56" t="s">
        <v>30</v>
      </c>
      <c r="E16" s="56" t="s">
        <v>30</v>
      </c>
      <c r="F16" s="56" t="s">
        <v>30</v>
      </c>
      <c r="G16" s="56" t="s">
        <v>30</v>
      </c>
      <c r="H16" s="57">
        <f>H15</f>
        <v>10600</v>
      </c>
      <c r="I16" s="57">
        <f t="shared" ref="I16:J16" si="1">I15</f>
        <v>10600</v>
      </c>
      <c r="J16" s="57">
        <f t="shared" si="1"/>
        <v>10600</v>
      </c>
      <c r="K16" s="60">
        <f t="shared" si="0"/>
        <v>31800</v>
      </c>
      <c r="L16" s="345"/>
    </row>
    <row r="17" spans="1:19" s="185" customFormat="1" ht="33.75" customHeight="1" outlineLevel="1" x14ac:dyDescent="0.25">
      <c r="A17" s="343" t="s">
        <v>83</v>
      </c>
      <c r="B17" s="346" t="s">
        <v>240</v>
      </c>
      <c r="C17" s="343" t="s">
        <v>94</v>
      </c>
      <c r="D17" s="343">
        <v>242</v>
      </c>
      <c r="E17" s="354" t="s">
        <v>241</v>
      </c>
      <c r="F17" s="397" t="s">
        <v>301</v>
      </c>
      <c r="G17" s="343">
        <v>244</v>
      </c>
      <c r="H17" s="115">
        <v>3.4697200000000001</v>
      </c>
      <c r="I17" s="115">
        <v>0</v>
      </c>
      <c r="J17" s="115">
        <v>0</v>
      </c>
      <c r="K17" s="127">
        <f t="shared" ref="K17:K19" si="2">SUM(H17:J17)</f>
        <v>3.4697200000000001</v>
      </c>
      <c r="L17" s="343" t="s">
        <v>146</v>
      </c>
    </row>
    <row r="18" spans="1:19" s="185" customFormat="1" ht="33.75" customHeight="1" outlineLevel="1" x14ac:dyDescent="0.25">
      <c r="A18" s="344"/>
      <c r="B18" s="347"/>
      <c r="C18" s="345"/>
      <c r="D18" s="345"/>
      <c r="E18" s="355"/>
      <c r="F18" s="398"/>
      <c r="G18" s="345"/>
      <c r="H18" s="115">
        <v>1731.39428</v>
      </c>
      <c r="I18" s="115">
        <v>0</v>
      </c>
      <c r="J18" s="115">
        <v>0</v>
      </c>
      <c r="K18" s="127">
        <f t="shared" si="2"/>
        <v>1731.39428</v>
      </c>
      <c r="L18" s="344"/>
    </row>
    <row r="19" spans="1:19" s="185" customFormat="1" ht="15.75" outlineLevel="1" x14ac:dyDescent="0.25">
      <c r="A19" s="345"/>
      <c r="B19" s="348"/>
      <c r="C19" s="56" t="s">
        <v>222</v>
      </c>
      <c r="D19" s="56" t="s">
        <v>30</v>
      </c>
      <c r="E19" s="56" t="s">
        <v>30</v>
      </c>
      <c r="F19" s="56" t="s">
        <v>30</v>
      </c>
      <c r="G19" s="56" t="s">
        <v>30</v>
      </c>
      <c r="H19" s="57">
        <f>H17+H18</f>
        <v>1734.864</v>
      </c>
      <c r="I19" s="57">
        <f t="shared" ref="I19:J19" si="3">I17+I18</f>
        <v>0</v>
      </c>
      <c r="J19" s="57">
        <f t="shared" si="3"/>
        <v>0</v>
      </c>
      <c r="K19" s="60">
        <f t="shared" si="2"/>
        <v>1734.864</v>
      </c>
      <c r="L19" s="345"/>
    </row>
    <row r="20" spans="1:19" x14ac:dyDescent="0.25">
      <c r="A20" s="53"/>
      <c r="B20" s="54" t="s">
        <v>119</v>
      </c>
      <c r="C20" s="53" t="s">
        <v>30</v>
      </c>
      <c r="D20" s="53" t="s">
        <v>30</v>
      </c>
      <c r="E20" s="53" t="s">
        <v>30</v>
      </c>
      <c r="F20" s="53" t="s">
        <v>30</v>
      </c>
      <c r="G20" s="53" t="s">
        <v>30</v>
      </c>
      <c r="H20" s="55">
        <f>H16+H19</f>
        <v>12334.864</v>
      </c>
      <c r="I20" s="55">
        <f t="shared" ref="I20:J20" si="4">I16+I19</f>
        <v>10600</v>
      </c>
      <c r="J20" s="55">
        <f t="shared" si="4"/>
        <v>10600</v>
      </c>
      <c r="K20" s="55">
        <f>SUM(H20:J20)</f>
        <v>33534.864000000001</v>
      </c>
      <c r="L20" s="61" t="s">
        <v>30</v>
      </c>
      <c r="S20" s="157" t="s">
        <v>220</v>
      </c>
    </row>
    <row r="21" spans="1:19" x14ac:dyDescent="0.25">
      <c r="A21" s="8"/>
      <c r="B21" s="8"/>
      <c r="C21" s="8"/>
      <c r="D21" s="8"/>
      <c r="E21" s="8"/>
      <c r="F21" s="8"/>
      <c r="G21" s="8"/>
      <c r="H21" s="51"/>
      <c r="I21" s="8"/>
      <c r="J21" s="8"/>
      <c r="K21" s="8"/>
      <c r="L21" s="8"/>
    </row>
    <row r="22" spans="1:19" x14ac:dyDescent="0.25">
      <c r="H22" s="187"/>
    </row>
    <row r="25" spans="1:19" x14ac:dyDescent="0.25">
      <c r="F25" s="188"/>
      <c r="G25" s="188"/>
      <c r="H25" s="189"/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3">
    <mergeCell ref="F17:F18"/>
    <mergeCell ref="K1:L1"/>
    <mergeCell ref="A17:A19"/>
    <mergeCell ref="B17:B19"/>
    <mergeCell ref="L17:L19"/>
    <mergeCell ref="C17:C18"/>
    <mergeCell ref="D17:D18"/>
    <mergeCell ref="E17:E18"/>
    <mergeCell ref="G17:G18"/>
    <mergeCell ref="B15:B16"/>
    <mergeCell ref="A15:A16"/>
    <mergeCell ref="L15:L16"/>
    <mergeCell ref="A14:L14"/>
    <mergeCell ref="A13:L13"/>
    <mergeCell ref="K4:L4"/>
    <mergeCell ref="A7:L7"/>
    <mergeCell ref="A8:L8"/>
    <mergeCell ref="L10:L11"/>
    <mergeCell ref="A10:A11"/>
    <mergeCell ref="B10:B11"/>
    <mergeCell ref="C10:C11"/>
    <mergeCell ref="D10:G10"/>
    <mergeCell ref="H10:K10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пр к пасп ПП2</vt:lpstr>
      <vt:lpstr>пр к ПП2</vt:lpstr>
      <vt:lpstr>пр к пасп ПП3</vt:lpstr>
      <vt:lpstr>пр к ПП3</vt:lpstr>
      <vt:lpstr>пр к пасп ПП4</vt:lpstr>
      <vt:lpstr>пр к ПП4</vt:lpstr>
      <vt:lpstr>пр 5 к МП</vt:lpstr>
      <vt:lpstr>Приложение 6</vt:lpstr>
      <vt:lpstr>Приложение 7</vt:lpstr>
      <vt:lpstr>Лист1</vt:lpstr>
      <vt:lpstr>пп1</vt:lpstr>
      <vt:lpstr>пп2</vt:lpstr>
      <vt:lpstr>пп3</vt:lpstr>
      <vt:lpstr>пп4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к пасп ПП3'!Заголовки_для_печати</vt:lpstr>
      <vt:lpstr>'пр к пасп ПП4'!Заголовки_для_печати</vt:lpstr>
      <vt:lpstr>'пр к ПП1'!Заголовки_для_печати</vt:lpstr>
      <vt:lpstr>'пр к ПП3'!Заголовки_для_печати</vt:lpstr>
      <vt:lpstr>'Приложение 6'!Заголовки_для_печати</vt:lpstr>
      <vt:lpstr>'Приложение 7'!Заголовки_для_печати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пасп ПП3'!Область_печати</vt:lpstr>
      <vt:lpstr>'пр к ПП1'!Область_печати</vt:lpstr>
      <vt:lpstr>'пр к ПП2'!Область_печати</vt:lpstr>
      <vt:lpstr>'пр к ПП3'!Область_печати</vt:lpstr>
      <vt:lpstr>'пр к ПП4'!Область_печати</vt:lpstr>
      <vt:lpstr>'Приложение 6'!Область_печати</vt:lpstr>
      <vt:lpstr>'Приложение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Елена М.Нагорная</cp:lastModifiedBy>
  <cp:lastPrinted>2022-09-08T05:11:39Z</cp:lastPrinted>
  <dcterms:created xsi:type="dcterms:W3CDTF">2016-10-20T04:37:12Z</dcterms:created>
  <dcterms:modified xsi:type="dcterms:W3CDTF">2022-09-08T05:11:42Z</dcterms:modified>
</cp:coreProperties>
</file>