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2\Территориальное управление\60-п Труднодоступная связь\"/>
    </mc:Choice>
  </mc:AlternateContent>
  <bookViews>
    <workbookView xWindow="0" yWindow="0" windowWidth="28800" windowHeight="11835" tabRatio="899" firstSheet="8" activeTab="16"/>
  </bookViews>
  <sheets>
    <sheet name="пр к пасп" sheetId="2" state="hidden" r:id="rId1"/>
    <sheet name="пр к пасп ПП1" sheetId="7" state="hidden" r:id="rId2"/>
    <sheet name="пр к ПП1" sheetId="8" state="hidden" r:id="rId3"/>
    <sheet name="пр к пасп ПП2" sheetId="18" state="hidden" r:id="rId4"/>
    <sheet name="пр к ПП2" sheetId="15" state="hidden" r:id="rId5"/>
    <sheet name="пр к пасп ПП3" sheetId="19" state="hidden" r:id="rId6"/>
    <sheet name="пр к ПП3" sheetId="16" state="hidden" r:id="rId7"/>
    <sheet name="пр к пасп ПП4" sheetId="20" state="hidden" r:id="rId8"/>
    <sheet name="пр к ПП4" sheetId="17" r:id="rId9"/>
    <sheet name="пр 5 к МП" sheetId="3" state="hidden" r:id="rId10"/>
    <sheet name="пр 6 к МП" sheetId="5" state="hidden" r:id="rId11"/>
    <sheet name="пр 7 к МП" sheetId="6" state="hidden" r:id="rId12"/>
    <sheet name="пп1" sheetId="22" state="hidden" r:id="rId13"/>
    <sheet name="пп2" sheetId="21" state="hidden" r:id="rId14"/>
    <sheet name="пп3" sheetId="24" state="hidden" r:id="rId15"/>
    <sheet name="пп4" sheetId="25" state="hidden" r:id="rId16"/>
    <sheet name="Приложение 2" sheetId="26" r:id="rId17"/>
    <sheet name="Приложение 3" sheetId="27" r:id="rId18"/>
  </sheets>
  <externalReferences>
    <externalReference r:id="rId19"/>
  </externalReferences>
  <definedNames>
    <definedName name="_xlnm._FilterDatabase" localSheetId="2" hidden="1">'пр к ПП1'!$A$10:$L$22</definedName>
    <definedName name="_xlnm._FilterDatabase" localSheetId="4" hidden="1">'пр к ПП2'!$A$10:$L$17</definedName>
    <definedName name="_xlnm._FilterDatabase" localSheetId="6" hidden="1">'пр к ПП3'!$A$10:$L$14</definedName>
    <definedName name="_xlnm._FilterDatabase" localSheetId="8" hidden="1">'пр к ПП4'!$A$10:$L$14</definedName>
    <definedName name="_xlnm.Print_Titles" localSheetId="9">'пр 5 к МП'!$11:$12</definedName>
    <definedName name="_xlnm.Print_Titles" localSheetId="10">'пр 6 к МП'!$14:$16</definedName>
    <definedName name="_xlnm.Print_Titles" localSheetId="11">'пр 7 к МП'!$16:$18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3">'пр к пасп ПП2'!$10:$12</definedName>
    <definedName name="_xlnm.Print_Titles" localSheetId="5">'пр к пасп ПП3'!$10:$12</definedName>
    <definedName name="_xlnm.Print_Titles" localSheetId="7">'пр к пасп ПП4'!$7:$9</definedName>
    <definedName name="_xlnm.Print_Titles" localSheetId="2">'пр к ПП1'!$10:$12</definedName>
    <definedName name="_xlnm.Print_Titles" localSheetId="6">'пр к ПП3'!$10:$11</definedName>
    <definedName name="_xlnm.Print_Area" localSheetId="10">'пр 6 к МП'!$A$1:$L$44</definedName>
    <definedName name="_xlnm.Print_Area" localSheetId="11">'пр 7 к МП'!$A$1:$Q$56</definedName>
    <definedName name="_xlnm.Print_Area" localSheetId="0">'пр к пасп'!$A$1:$O$29</definedName>
    <definedName name="_xlnm.Print_Area" localSheetId="1">'пр к пасп ПП1'!$A$4:$H$18</definedName>
    <definedName name="_xlnm.Print_Area" localSheetId="3">'пр к пасп ПП2'!$A$1:$H$24</definedName>
    <definedName name="_xlnm.Print_Area" localSheetId="5">'пр к пасп ПП3'!$A$1:$H$22</definedName>
    <definedName name="_xlnm.Print_Area" localSheetId="2">'пр к ПП1'!$A$1:$L$33</definedName>
    <definedName name="_xlnm.Print_Area" localSheetId="4">'пр к ПП2'!$A$4:$L$33</definedName>
    <definedName name="_xlnm.Print_Area" localSheetId="6">'пр к ПП3'!$A$1:$L$24</definedName>
    <definedName name="_xlnm.Print_Area" localSheetId="8">'пр к ПП4'!$A$1:$L$25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" i="27" l="1"/>
  <c r="P70" i="27"/>
  <c r="P69" i="27"/>
  <c r="P65" i="27"/>
  <c r="P64" i="27"/>
  <c r="P63" i="27"/>
  <c r="Q54" i="27"/>
  <c r="O54" i="27"/>
  <c r="Q53" i="27"/>
  <c r="O53" i="27"/>
  <c r="X52" i="27"/>
  <c r="N52" i="27"/>
  <c r="M52" i="27"/>
  <c r="L52" i="27"/>
  <c r="O52" i="27" s="1"/>
  <c r="J52" i="27"/>
  <c r="U52" i="27" s="1"/>
  <c r="N51" i="27"/>
  <c r="N48" i="27" s="1"/>
  <c r="N72" i="27" s="1"/>
  <c r="M51" i="27"/>
  <c r="M48" i="27" s="1"/>
  <c r="L51" i="27"/>
  <c r="O51" i="27" s="1"/>
  <c r="J51" i="27"/>
  <c r="Q50" i="27"/>
  <c r="O50" i="27"/>
  <c r="Q49" i="27"/>
  <c r="K48" i="27"/>
  <c r="J48" i="27"/>
  <c r="I48" i="27"/>
  <c r="I72" i="27" s="1"/>
  <c r="H48" i="27"/>
  <c r="G48" i="27"/>
  <c r="F48" i="27"/>
  <c r="E48" i="27"/>
  <c r="C48" i="27"/>
  <c r="Q47" i="27"/>
  <c r="O47" i="27"/>
  <c r="Q46" i="27"/>
  <c r="O46" i="27"/>
  <c r="N45" i="27"/>
  <c r="M45" i="27"/>
  <c r="L45" i="27"/>
  <c r="J45" i="27"/>
  <c r="N44" i="27"/>
  <c r="N23" i="27" s="1"/>
  <c r="M44" i="27"/>
  <c r="L44" i="27"/>
  <c r="Q43" i="27"/>
  <c r="O43" i="27"/>
  <c r="Q42" i="27"/>
  <c r="M41" i="27"/>
  <c r="M71" i="27" s="1"/>
  <c r="L41" i="27"/>
  <c r="L71" i="27" s="1"/>
  <c r="K41" i="27"/>
  <c r="I41" i="27"/>
  <c r="I71" i="27" s="1"/>
  <c r="H41" i="27"/>
  <c r="G41" i="27"/>
  <c r="F41" i="27"/>
  <c r="E41" i="27"/>
  <c r="C41" i="27"/>
  <c r="Q40" i="27"/>
  <c r="O40" i="27"/>
  <c r="Q39" i="27"/>
  <c r="O39" i="27"/>
  <c r="O38" i="27"/>
  <c r="N38" i="27"/>
  <c r="N34" i="27" s="1"/>
  <c r="M38" i="27"/>
  <c r="L38" i="27"/>
  <c r="L34" i="27" s="1"/>
  <c r="Q37" i="27"/>
  <c r="O37" i="27"/>
  <c r="S36" i="27"/>
  <c r="T36" i="27" s="1"/>
  <c r="U36" i="27" s="1"/>
  <c r="Q36" i="27"/>
  <c r="O36" i="27"/>
  <c r="Q35" i="27"/>
  <c r="M34" i="27"/>
  <c r="M64" i="27" s="1"/>
  <c r="K34" i="27"/>
  <c r="J34" i="27"/>
  <c r="I34" i="27"/>
  <c r="I70" i="27" s="1"/>
  <c r="H34" i="27"/>
  <c r="G34" i="27"/>
  <c r="F34" i="27"/>
  <c r="E34" i="27"/>
  <c r="C34" i="27"/>
  <c r="Q33" i="27"/>
  <c r="O33" i="27"/>
  <c r="Q32" i="27"/>
  <c r="O32" i="27"/>
  <c r="N31" i="27"/>
  <c r="N24" i="27" s="1"/>
  <c r="M31" i="27"/>
  <c r="M27" i="27" s="1"/>
  <c r="L31" i="27"/>
  <c r="J31" i="27"/>
  <c r="J27" i="27" s="1"/>
  <c r="Q30" i="27"/>
  <c r="O30" i="27"/>
  <c r="J30" i="27"/>
  <c r="J23" i="27" s="1"/>
  <c r="Q29" i="27"/>
  <c r="O29" i="27"/>
  <c r="Q28" i="27"/>
  <c r="L27" i="27"/>
  <c r="L69" i="27" s="1"/>
  <c r="K27" i="27"/>
  <c r="I27" i="27"/>
  <c r="I69" i="27" s="1"/>
  <c r="H27" i="27"/>
  <c r="H20" i="27" s="1"/>
  <c r="G27" i="27"/>
  <c r="F27" i="27"/>
  <c r="E27" i="27"/>
  <c r="C27" i="27"/>
  <c r="N26" i="27"/>
  <c r="M26" i="27"/>
  <c r="L26" i="27"/>
  <c r="K26" i="27"/>
  <c r="J26" i="27"/>
  <c r="I26" i="27"/>
  <c r="H26" i="27"/>
  <c r="G26" i="27"/>
  <c r="F26" i="27"/>
  <c r="E26" i="27"/>
  <c r="N25" i="27"/>
  <c r="M25" i="27"/>
  <c r="L25" i="27"/>
  <c r="K25" i="27"/>
  <c r="J25" i="27"/>
  <c r="I25" i="27"/>
  <c r="H25" i="27"/>
  <c r="G25" i="27"/>
  <c r="F25" i="27"/>
  <c r="E25" i="27"/>
  <c r="M24" i="27"/>
  <c r="K24" i="27"/>
  <c r="I24" i="27"/>
  <c r="H24" i="27"/>
  <c r="G24" i="27"/>
  <c r="F24" i="27"/>
  <c r="E24" i="27"/>
  <c r="M23" i="27"/>
  <c r="L23" i="27"/>
  <c r="K23" i="27"/>
  <c r="I23" i="27"/>
  <c r="H23" i="27"/>
  <c r="G23" i="27"/>
  <c r="F23" i="27"/>
  <c r="E23" i="27"/>
  <c r="N22" i="27"/>
  <c r="M22" i="27"/>
  <c r="L22" i="27"/>
  <c r="K22" i="27"/>
  <c r="J22" i="27"/>
  <c r="I22" i="27"/>
  <c r="H22" i="27"/>
  <c r="G22" i="27"/>
  <c r="F22" i="27"/>
  <c r="E22" i="27"/>
  <c r="F20" i="27"/>
  <c r="C20" i="27"/>
  <c r="T19" i="27"/>
  <c r="T20" i="27" s="1"/>
  <c r="L6" i="27"/>
  <c r="K51" i="26"/>
  <c r="L40" i="26"/>
  <c r="K40" i="26"/>
  <c r="J40" i="26"/>
  <c r="I40" i="26"/>
  <c r="L39" i="26"/>
  <c r="L37" i="26" s="1"/>
  <c r="K39" i="26"/>
  <c r="J39" i="26"/>
  <c r="I39" i="26"/>
  <c r="L38" i="26"/>
  <c r="J37" i="26"/>
  <c r="J58" i="26" s="1"/>
  <c r="K36" i="26"/>
  <c r="J36" i="26"/>
  <c r="I36" i="26"/>
  <c r="E36" i="26"/>
  <c r="L35" i="26"/>
  <c r="K35" i="26"/>
  <c r="J35" i="26"/>
  <c r="I35" i="26"/>
  <c r="E35" i="26"/>
  <c r="L34" i="26"/>
  <c r="L33" i="26"/>
  <c r="L57" i="26" s="1"/>
  <c r="K33" i="26"/>
  <c r="K57" i="26" s="1"/>
  <c r="J33" i="26"/>
  <c r="J57" i="26" s="1"/>
  <c r="I33" i="26"/>
  <c r="I57" i="26" s="1"/>
  <c r="K32" i="26"/>
  <c r="J32" i="26"/>
  <c r="I32" i="26"/>
  <c r="L32" i="26" s="1"/>
  <c r="K31" i="26"/>
  <c r="J31" i="26"/>
  <c r="I31" i="26"/>
  <c r="E31" i="26"/>
  <c r="E40" i="26" s="1"/>
  <c r="L30" i="26"/>
  <c r="K30" i="26"/>
  <c r="K28" i="26" s="1"/>
  <c r="J30" i="26"/>
  <c r="I30" i="26"/>
  <c r="I28" i="26" s="1"/>
  <c r="I56" i="26" s="1"/>
  <c r="E30" i="26"/>
  <c r="E39" i="26" s="1"/>
  <c r="L29" i="26"/>
  <c r="K27" i="26"/>
  <c r="K22" i="26" s="1"/>
  <c r="J27" i="26"/>
  <c r="I27" i="26"/>
  <c r="E27" i="26"/>
  <c r="E32" i="26" s="1"/>
  <c r="L26" i="26"/>
  <c r="K26" i="26"/>
  <c r="J26" i="26"/>
  <c r="J24" i="26" s="1"/>
  <c r="I26" i="26"/>
  <c r="E26" i="26"/>
  <c r="L25" i="26"/>
  <c r="K23" i="26"/>
  <c r="J23" i="26"/>
  <c r="I23" i="26"/>
  <c r="J22" i="26"/>
  <c r="I22" i="26"/>
  <c r="K21" i="26"/>
  <c r="J21" i="26"/>
  <c r="I21" i="26"/>
  <c r="K20" i="26"/>
  <c r="J20" i="26"/>
  <c r="I20" i="26"/>
  <c r="L19" i="26"/>
  <c r="K15" i="26"/>
  <c r="J15" i="26"/>
  <c r="I15" i="26"/>
  <c r="J6" i="26"/>
  <c r="J19" i="17"/>
  <c r="I19" i="17"/>
  <c r="H19" i="17"/>
  <c r="K18" i="17"/>
  <c r="K17" i="17"/>
  <c r="I16" i="17"/>
  <c r="I20" i="17" s="1"/>
  <c r="H16" i="17"/>
  <c r="J15" i="17"/>
  <c r="K15" i="17" s="1"/>
  <c r="I29" i="5"/>
  <c r="J32" i="15"/>
  <c r="I32" i="15"/>
  <c r="H32" i="15"/>
  <c r="K31" i="15"/>
  <c r="K32" i="15" s="1"/>
  <c r="J29" i="15"/>
  <c r="I29" i="15"/>
  <c r="H29" i="15"/>
  <c r="K28" i="15"/>
  <c r="K29" i="15" s="1"/>
  <c r="H22" i="18"/>
  <c r="H19" i="18"/>
  <c r="K29" i="6"/>
  <c r="K18" i="26" l="1"/>
  <c r="L27" i="26"/>
  <c r="L24" i="26" s="1"/>
  <c r="L49" i="26" s="1"/>
  <c r="L31" i="26"/>
  <c r="L28" i="26" s="1"/>
  <c r="K37" i="26"/>
  <c r="N27" i="27"/>
  <c r="N63" i="27" s="1"/>
  <c r="L24" i="27"/>
  <c r="L20" i="27" s="1"/>
  <c r="Q34" i="27"/>
  <c r="N41" i="27"/>
  <c r="Q44" i="27"/>
  <c r="Q51" i="27"/>
  <c r="L65" i="27"/>
  <c r="J18" i="26"/>
  <c r="L22" i="26"/>
  <c r="K19" i="17"/>
  <c r="L21" i="26"/>
  <c r="L20" i="26"/>
  <c r="K24" i="26"/>
  <c r="L36" i="26"/>
  <c r="Q22" i="27"/>
  <c r="M20" i="27"/>
  <c r="Q26" i="27"/>
  <c r="O26" i="27"/>
  <c r="O44" i="27"/>
  <c r="O45" i="27"/>
  <c r="Y52" i="27"/>
  <c r="L23" i="26"/>
  <c r="I37" i="26"/>
  <c r="I52" i="26" s="1"/>
  <c r="O23" i="27"/>
  <c r="N20" i="27"/>
  <c r="G20" i="27"/>
  <c r="K20" i="27"/>
  <c r="Q25" i="27"/>
  <c r="O25" i="27"/>
  <c r="Q45" i="27"/>
  <c r="L48" i="27"/>
  <c r="O48" i="27" s="1"/>
  <c r="P48" i="27" s="1"/>
  <c r="L64" i="27"/>
  <c r="L70" i="27"/>
  <c r="O34" i="27"/>
  <c r="O72" i="27"/>
  <c r="O66" i="27"/>
  <c r="M72" i="27"/>
  <c r="M66" i="27"/>
  <c r="M63" i="27"/>
  <c r="M69" i="27"/>
  <c r="N70" i="27"/>
  <c r="N64" i="27"/>
  <c r="R34" i="27"/>
  <c r="Q23" i="27"/>
  <c r="O22" i="27"/>
  <c r="Q31" i="27"/>
  <c r="Q38" i="27"/>
  <c r="Q52" i="27"/>
  <c r="L63" i="27"/>
  <c r="M70" i="27"/>
  <c r="E20" i="27"/>
  <c r="I20" i="27"/>
  <c r="J24" i="27"/>
  <c r="Q24" i="27" s="1"/>
  <c r="O31" i="27"/>
  <c r="J41" i="27"/>
  <c r="J20" i="27" s="1"/>
  <c r="M65" i="27"/>
  <c r="L66" i="27"/>
  <c r="U51" i="27"/>
  <c r="O27" i="27"/>
  <c r="N66" i="27"/>
  <c r="J55" i="26"/>
  <c r="J49" i="26"/>
  <c r="L55" i="26"/>
  <c r="K56" i="26"/>
  <c r="K50" i="26"/>
  <c r="L56" i="26"/>
  <c r="L50" i="26"/>
  <c r="K58" i="26"/>
  <c r="K52" i="26"/>
  <c r="I58" i="26"/>
  <c r="K55" i="26"/>
  <c r="K49" i="26"/>
  <c r="L58" i="26"/>
  <c r="L52" i="26"/>
  <c r="I24" i="26"/>
  <c r="J28" i="26"/>
  <c r="L51" i="26"/>
  <c r="I18" i="26"/>
  <c r="J51" i="26"/>
  <c r="J52" i="26"/>
  <c r="I50" i="26"/>
  <c r="I51" i="26"/>
  <c r="J16" i="17"/>
  <c r="J20" i="17" s="1"/>
  <c r="H20" i="17"/>
  <c r="L29" i="6"/>
  <c r="M29" i="6"/>
  <c r="R27" i="27" l="1"/>
  <c r="N71" i="27"/>
  <c r="N65" i="27"/>
  <c r="Q27" i="27"/>
  <c r="K16" i="17"/>
  <c r="L72" i="27"/>
  <c r="O41" i="27"/>
  <c r="L18" i="26"/>
  <c r="N69" i="27"/>
  <c r="O24" i="27"/>
  <c r="O20" i="27" s="1"/>
  <c r="P20" i="27" s="1"/>
  <c r="Q48" i="27"/>
  <c r="R48" i="27" s="1"/>
  <c r="P27" i="27"/>
  <c r="O63" i="27"/>
  <c r="O69" i="27"/>
  <c r="O65" i="27"/>
  <c r="P41" i="27"/>
  <c r="O71" i="27"/>
  <c r="P72" i="27"/>
  <c r="P66" i="27"/>
  <c r="P34" i="27"/>
  <c r="O70" i="27"/>
  <c r="O64" i="27"/>
  <c r="Q20" i="27"/>
  <c r="R20" i="27" s="1"/>
  <c r="Q41" i="27"/>
  <c r="R41" i="27" s="1"/>
  <c r="I55" i="26"/>
  <c r="I49" i="26"/>
  <c r="J56" i="26"/>
  <c r="J50" i="26"/>
  <c r="K20" i="17"/>
  <c r="N29" i="6"/>
  <c r="J26" i="5"/>
  <c r="K26" i="5"/>
  <c r="J25" i="5"/>
  <c r="J29" i="6"/>
  <c r="J30" i="6"/>
  <c r="J23" i="5" l="1"/>
  <c r="I26" i="5"/>
  <c r="J32" i="8"/>
  <c r="I32" i="8"/>
  <c r="H32" i="8"/>
  <c r="K32" i="8" l="1"/>
  <c r="K30" i="6"/>
  <c r="K26" i="6" s="1"/>
  <c r="J51" i="6"/>
  <c r="W51" i="6"/>
  <c r="T51" i="6"/>
  <c r="J50" i="6"/>
  <c r="T50" i="6" s="1"/>
  <c r="J33" i="6" l="1"/>
  <c r="L43" i="6" l="1"/>
  <c r="M43" i="6"/>
  <c r="K43" i="6"/>
  <c r="J23" i="16"/>
  <c r="I23" i="16"/>
  <c r="H23" i="16"/>
  <c r="K22" i="16"/>
  <c r="K20" i="8"/>
  <c r="K23" i="16" l="1"/>
  <c r="I26" i="15"/>
  <c r="J26" i="15"/>
  <c r="H26" i="15"/>
  <c r="K25" i="15"/>
  <c r="K26" i="15" s="1"/>
  <c r="M28" i="2" l="1"/>
  <c r="M26" i="2"/>
  <c r="K50" i="6" l="1"/>
  <c r="K22" i="6" s="1"/>
  <c r="K51" i="6"/>
  <c r="J22" i="6"/>
  <c r="J21" i="6"/>
  <c r="J24" i="6"/>
  <c r="J25" i="6"/>
  <c r="J44" i="6"/>
  <c r="J23" i="6" s="1"/>
  <c r="J47" i="6"/>
  <c r="X51" i="6" s="1"/>
  <c r="H11" i="8"/>
  <c r="I11" i="8"/>
  <c r="J11" i="8"/>
  <c r="J40" i="6" l="1"/>
  <c r="J26" i="6"/>
  <c r="C19" i="6"/>
  <c r="J19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K29" i="8" l="1"/>
  <c r="H30" i="8"/>
  <c r="I30" i="8"/>
  <c r="J30" i="8"/>
  <c r="I26" i="8"/>
  <c r="J26" i="8"/>
  <c r="H26" i="8"/>
  <c r="K25" i="8"/>
  <c r="I24" i="22" s="1"/>
  <c r="K30" i="8" l="1"/>
  <c r="H47" i="6"/>
  <c r="E10" i="21" l="1"/>
  <c r="E11" i="21"/>
  <c r="E12" i="21"/>
  <c r="E9" i="21"/>
  <c r="F7" i="21"/>
  <c r="G7" i="21"/>
  <c r="E8" i="21" l="1"/>
  <c r="F25" i="22"/>
  <c r="J28" i="8"/>
  <c r="I28" i="8"/>
  <c r="H28" i="8"/>
  <c r="K27" i="8"/>
  <c r="I25" i="22" s="1"/>
  <c r="K28" i="8" l="1"/>
  <c r="L30" i="6" l="1"/>
  <c r="J19" i="8"/>
  <c r="K25" i="5" s="1"/>
  <c r="K23" i="5" s="1"/>
  <c r="I17" i="15"/>
  <c r="J17" i="15" s="1"/>
  <c r="I15" i="15"/>
  <c r="F15" i="18"/>
  <c r="G15" i="18" s="1"/>
  <c r="H15" i="18" s="1"/>
  <c r="J15" i="15" l="1"/>
  <c r="K29" i="5" s="1"/>
  <c r="J29" i="5"/>
  <c r="M30" i="6"/>
  <c r="F17" i="19"/>
  <c r="E17" i="19"/>
  <c r="F16" i="19"/>
  <c r="G16" i="19"/>
  <c r="H16" i="19"/>
  <c r="E16" i="19"/>
  <c r="K38" i="5" l="1"/>
  <c r="J38" i="5"/>
  <c r="P53" i="6"/>
  <c r="P52" i="6"/>
  <c r="P49" i="6"/>
  <c r="P48" i="6"/>
  <c r="P46" i="6"/>
  <c r="P45" i="6"/>
  <c r="P42" i="6"/>
  <c r="P41" i="6"/>
  <c r="P39" i="6"/>
  <c r="P38" i="6"/>
  <c r="P36" i="6"/>
  <c r="P35" i="6"/>
  <c r="P34" i="6"/>
  <c r="P32" i="6"/>
  <c r="P31" i="6"/>
  <c r="P28" i="6"/>
  <c r="P27" i="6"/>
  <c r="J11" i="15"/>
  <c r="I11" i="15"/>
  <c r="H11" i="15"/>
  <c r="J11" i="16"/>
  <c r="I11" i="16"/>
  <c r="H11" i="16"/>
  <c r="J14" i="5"/>
  <c r="G4" i="22" s="1"/>
  <c r="K14" i="5"/>
  <c r="H4" i="22" s="1"/>
  <c r="I14" i="5"/>
  <c r="F4" i="22" s="1"/>
  <c r="L21" i="6"/>
  <c r="M21" i="6"/>
  <c r="L24" i="6"/>
  <c r="M24" i="6"/>
  <c r="L25" i="6"/>
  <c r="M25" i="6"/>
  <c r="L44" i="6"/>
  <c r="M44" i="6"/>
  <c r="L50" i="6"/>
  <c r="M50" i="6"/>
  <c r="L51" i="6"/>
  <c r="M51" i="6"/>
  <c r="K44" i="6"/>
  <c r="N53" i="6"/>
  <c r="N52" i="6"/>
  <c r="N49" i="6"/>
  <c r="N46" i="6"/>
  <c r="N45" i="6"/>
  <c r="N42" i="6"/>
  <c r="N39" i="6"/>
  <c r="N38" i="6"/>
  <c r="N36" i="6"/>
  <c r="N35" i="6"/>
  <c r="N32" i="6"/>
  <c r="N31" i="6"/>
  <c r="N28" i="6"/>
  <c r="F11" i="18"/>
  <c r="G11" i="18"/>
  <c r="H11" i="18"/>
  <c r="E11" i="18"/>
  <c r="F18" i="7"/>
  <c r="G18" i="7" s="1"/>
  <c r="H18" i="7" s="1"/>
  <c r="F17" i="7"/>
  <c r="G17" i="7" s="1"/>
  <c r="H17" i="7" s="1"/>
  <c r="N4" i="22" l="1"/>
  <c r="F4" i="24"/>
  <c r="G34" i="22"/>
  <c r="G45" i="22" s="1"/>
  <c r="M4" i="22"/>
  <c r="E4" i="24"/>
  <c r="F34" i="22"/>
  <c r="F45" i="22" s="1"/>
  <c r="O4" i="22"/>
  <c r="G4" i="24"/>
  <c r="H34" i="22"/>
  <c r="H45" i="22" s="1"/>
  <c r="N51" i="6"/>
  <c r="L47" i="6"/>
  <c r="M47" i="6"/>
  <c r="M22" i="6"/>
  <c r="N43" i="6"/>
  <c r="N44" i="6"/>
  <c r="L22" i="6"/>
  <c r="N30" i="6"/>
  <c r="M40" i="6"/>
  <c r="L40" i="6"/>
  <c r="M26" i="6"/>
  <c r="N50" i="6"/>
  <c r="L26" i="6"/>
  <c r="N26" i="6" l="1"/>
  <c r="F15" i="21"/>
  <c r="G15" i="21"/>
  <c r="E15" i="21"/>
  <c r="B15" i="21"/>
  <c r="J31" i="5" l="1"/>
  <c r="K31" i="5"/>
  <c r="I31" i="5"/>
  <c r="J23" i="15"/>
  <c r="I23" i="15"/>
  <c r="H23" i="15"/>
  <c r="K22" i="15"/>
  <c r="H15" i="21" s="1"/>
  <c r="K23" i="15" l="1"/>
  <c r="L31" i="5"/>
  <c r="F6" i="25" l="1"/>
  <c r="G6" i="25"/>
  <c r="K19" i="2" l="1"/>
  <c r="L19" i="2" s="1"/>
  <c r="M19" i="2" s="1"/>
  <c r="K18" i="2"/>
  <c r="L18" i="2" l="1"/>
  <c r="N18" i="2"/>
  <c r="O18" i="2"/>
  <c r="N19" i="2"/>
  <c r="O19" i="2" s="1"/>
  <c r="G21" i="2"/>
  <c r="J21" i="16" l="1"/>
  <c r="I21" i="16"/>
  <c r="H21" i="16"/>
  <c r="K20" i="16"/>
  <c r="K21" i="16" l="1"/>
  <c r="E8" i="25"/>
  <c r="E7" i="25"/>
  <c r="E6" i="25" l="1"/>
  <c r="E7" i="21"/>
  <c r="H7" i="21" s="1"/>
  <c r="P51" i="6"/>
  <c r="P50" i="6"/>
  <c r="P30" i="6"/>
  <c r="H8" i="25" l="1"/>
  <c r="K24" i="8"/>
  <c r="I23" i="22" s="1"/>
  <c r="I39" i="5" l="1"/>
  <c r="H7" i="25"/>
  <c r="H6" i="25" s="1"/>
  <c r="K39" i="5"/>
  <c r="K36" i="5" s="1"/>
  <c r="J39" i="5"/>
  <c r="J36" i="5" s="1"/>
  <c r="K26" i="8"/>
  <c r="L39" i="5" l="1"/>
  <c r="P29" i="6"/>
  <c r="F16" i="18" l="1"/>
  <c r="G16" i="18" s="1"/>
  <c r="H16" i="18" s="1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J34" i="5" l="1"/>
  <c r="I24" i="16"/>
  <c r="J32" i="5" s="1"/>
  <c r="I34" i="5"/>
  <c r="H24" i="16"/>
  <c r="K34" i="5"/>
  <c r="J24" i="16"/>
  <c r="K32" i="5" s="1"/>
  <c r="K17" i="16"/>
  <c r="K19" i="16"/>
  <c r="L34" i="5" l="1"/>
  <c r="K24" i="16"/>
  <c r="L32" i="5" s="1"/>
  <c r="E14" i="24"/>
  <c r="E15" i="24" s="1"/>
  <c r="I32" i="5"/>
  <c r="F14" i="24"/>
  <c r="F15" i="24" s="1"/>
  <c r="L64" i="6"/>
  <c r="L70" i="6"/>
  <c r="M64" i="6"/>
  <c r="M70" i="6"/>
  <c r="G14" i="24"/>
  <c r="G15" i="24" s="1"/>
  <c r="H21" i="6"/>
  <c r="H22" i="6"/>
  <c r="H23" i="6"/>
  <c r="H24" i="6"/>
  <c r="H25" i="6"/>
  <c r="H40" i="6"/>
  <c r="H33" i="6"/>
  <c r="H26" i="6"/>
  <c r="H14" i="24" l="1"/>
  <c r="H15" i="24" s="1"/>
  <c r="H19" i="6"/>
  <c r="F18" i="19" l="1"/>
  <c r="F19" i="19" s="1"/>
  <c r="H18" i="15"/>
  <c r="I16" i="15"/>
  <c r="H16" i="15"/>
  <c r="I16" i="8"/>
  <c r="J16" i="8"/>
  <c r="I18" i="8"/>
  <c r="J18" i="8"/>
  <c r="I23" i="8"/>
  <c r="J23" i="8"/>
  <c r="H23" i="8"/>
  <c r="H21" i="8"/>
  <c r="H18" i="8"/>
  <c r="H16" i="8"/>
  <c r="H33" i="8" s="1"/>
  <c r="K37" i="6" l="1"/>
  <c r="K23" i="6" s="1"/>
  <c r="H33" i="15"/>
  <c r="H35" i="8"/>
  <c r="H36" i="8"/>
  <c r="I21" i="8"/>
  <c r="I33" i="8" s="1"/>
  <c r="K20" i="15"/>
  <c r="J21" i="15"/>
  <c r="I21" i="15"/>
  <c r="H21" i="15"/>
  <c r="J16" i="15"/>
  <c r="K16" i="15" l="1"/>
  <c r="K33" i="6"/>
  <c r="L62" i="6"/>
  <c r="L68" i="6"/>
  <c r="K21" i="15"/>
  <c r="I18" i="15"/>
  <c r="J21" i="8"/>
  <c r="J33" i="8" s="1"/>
  <c r="E5" i="25"/>
  <c r="E9" i="25" s="1"/>
  <c r="L37" i="6" l="1"/>
  <c r="L23" i="6" s="1"/>
  <c r="I33" i="15"/>
  <c r="L19" i="6"/>
  <c r="M68" i="6"/>
  <c r="M62" i="6"/>
  <c r="O70" i="6"/>
  <c r="O69" i="6"/>
  <c r="O64" i="6"/>
  <c r="O63" i="6"/>
  <c r="K23" i="8"/>
  <c r="K22" i="8"/>
  <c r="I38" i="5"/>
  <c r="I19" i="5" s="1"/>
  <c r="L33" i="6" l="1"/>
  <c r="L69" i="6"/>
  <c r="L63" i="6"/>
  <c r="I36" i="5"/>
  <c r="I51" i="5" s="1"/>
  <c r="I57" i="5" l="1"/>
  <c r="F5" i="25"/>
  <c r="F9" i="25" s="1"/>
  <c r="L65" i="6" l="1"/>
  <c r="L71" i="6"/>
  <c r="J57" i="5"/>
  <c r="J19" i="5"/>
  <c r="G5" i="25"/>
  <c r="G9" i="25" s="1"/>
  <c r="L38" i="5"/>
  <c r="L36" i="5" s="1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M71" i="6" l="1"/>
  <c r="M65" i="6"/>
  <c r="K57" i="5"/>
  <c r="I7" i="22"/>
  <c r="I11" i="22"/>
  <c r="I6" i="22"/>
  <c r="J51" i="5"/>
  <c r="H5" i="25"/>
  <c r="H9" i="25" s="1"/>
  <c r="P5" i="22"/>
  <c r="P13" i="22"/>
  <c r="E22" i="6"/>
  <c r="G28" i="22" l="1"/>
  <c r="I10" i="22"/>
  <c r="K51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P44" i="6"/>
  <c r="P43" i="6"/>
  <c r="H6" i="21" l="1"/>
  <c r="K40" i="6"/>
  <c r="H5" i="24"/>
  <c r="H12" i="24" s="1"/>
  <c r="I40" i="6"/>
  <c r="H14" i="21"/>
  <c r="H13" i="21"/>
  <c r="E30" i="5"/>
  <c r="E39" i="5" s="1"/>
  <c r="E35" i="5"/>
  <c r="J21" i="5"/>
  <c r="K21" i="5"/>
  <c r="J35" i="5"/>
  <c r="J22" i="5" s="1"/>
  <c r="K35" i="5"/>
  <c r="K22" i="5" s="1"/>
  <c r="I35" i="5"/>
  <c r="I22" i="5" s="1"/>
  <c r="J30" i="5"/>
  <c r="J27" i="5" s="1"/>
  <c r="K30" i="5"/>
  <c r="I30" i="5"/>
  <c r="I27" i="5" s="1"/>
  <c r="K18" i="16"/>
  <c r="K16" i="16"/>
  <c r="K15" i="16"/>
  <c r="K70" i="6" l="1"/>
  <c r="K64" i="6"/>
  <c r="N40" i="6"/>
  <c r="I55" i="5"/>
  <c r="I70" i="6"/>
  <c r="L22" i="5"/>
  <c r="L35" i="5"/>
  <c r="L30" i="5"/>
  <c r="N64" i="6" l="1"/>
  <c r="N70" i="6"/>
  <c r="I49" i="5"/>
  <c r="J56" i="5"/>
  <c r="J50" i="5"/>
  <c r="K56" i="5"/>
  <c r="K50" i="5"/>
  <c r="V22" i="2" l="1"/>
  <c r="T22" i="2"/>
  <c r="N22" i="6" l="1"/>
  <c r="I23" i="6" l="1"/>
  <c r="I21" i="6"/>
  <c r="G22" i="6" l="1"/>
  <c r="G23" i="6"/>
  <c r="F22" i="6" l="1"/>
  <c r="F23" i="6"/>
  <c r="E23" i="6" l="1"/>
  <c r="E26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K15" i="8"/>
  <c r="K17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L26" i="5" l="1"/>
  <c r="G10" i="21"/>
  <c r="G8" i="21" s="1"/>
  <c r="G16" i="21" s="1"/>
  <c r="F8" i="21"/>
  <c r="H9" i="21"/>
  <c r="H12" i="21"/>
  <c r="H11" i="21"/>
  <c r="K21" i="8"/>
  <c r="K19" i="8"/>
  <c r="L25" i="5" s="1"/>
  <c r="L23" i="5" s="1"/>
  <c r="K18" i="8"/>
  <c r="K16" i="8"/>
  <c r="I22" i="6"/>
  <c r="P22" i="6" s="1"/>
  <c r="I26" i="6"/>
  <c r="H21" i="22"/>
  <c r="T24" i="2"/>
  <c r="T23" i="2"/>
  <c r="F22" i="2"/>
  <c r="S24" i="2"/>
  <c r="E22" i="2"/>
  <c r="S23" i="2"/>
  <c r="U24" i="2" l="1"/>
  <c r="K33" i="8"/>
  <c r="H26" i="22"/>
  <c r="I13" i="22"/>
  <c r="H10" i="21"/>
  <c r="H8" i="21"/>
  <c r="H16" i="21" s="1"/>
  <c r="F16" i="21"/>
  <c r="F19" i="21" s="1"/>
  <c r="H17" i="19"/>
  <c r="H15" i="19" s="1"/>
  <c r="G17" i="19"/>
  <c r="J22" i="2"/>
  <c r="H21" i="2"/>
  <c r="U23" i="2"/>
  <c r="U22" i="2" s="1"/>
  <c r="S22" i="2" s="1"/>
  <c r="I68" i="6"/>
  <c r="I21" i="22"/>
  <c r="G15" i="19" l="1"/>
  <c r="G18" i="19"/>
  <c r="G19" i="19" s="1"/>
  <c r="E19" i="2"/>
  <c r="D19" i="2" s="1"/>
  <c r="E18" i="2"/>
  <c r="D18" i="2" s="1"/>
  <c r="B26" i="3"/>
  <c r="H18" i="19" l="1"/>
  <c r="H19" i="19" s="1"/>
  <c r="B27" i="2"/>
  <c r="B25" i="2"/>
  <c r="K23" i="2" l="1"/>
  <c r="L23" i="2" s="1"/>
  <c r="J21" i="2"/>
  <c r="I27" i="16"/>
  <c r="J27" i="16"/>
  <c r="H27" i="16"/>
  <c r="K22" i="2" l="1"/>
  <c r="K21" i="2" s="1"/>
  <c r="N23" i="2"/>
  <c r="H35" i="15"/>
  <c r="L22" i="2" l="1"/>
  <c r="L21" i="2" s="1"/>
  <c r="M21" i="2" s="1"/>
  <c r="O23" i="2"/>
  <c r="N22" i="2"/>
  <c r="K26" i="7"/>
  <c r="O22" i="2" l="1"/>
  <c r="O21" i="2" s="1"/>
  <c r="N21" i="2"/>
  <c r="G47" i="6"/>
  <c r="F47" i="6"/>
  <c r="E47" i="6"/>
  <c r="G40" i="6"/>
  <c r="F40" i="6"/>
  <c r="E40" i="6"/>
  <c r="G33" i="6"/>
  <c r="F33" i="6"/>
  <c r="E33" i="6"/>
  <c r="G26" i="6"/>
  <c r="F26" i="6"/>
  <c r="E21" i="6"/>
  <c r="F21" i="6"/>
  <c r="G21" i="6"/>
  <c r="E24" i="6"/>
  <c r="F24" i="6"/>
  <c r="G24" i="6"/>
  <c r="E25" i="6"/>
  <c r="F25" i="6"/>
  <c r="G25" i="6"/>
  <c r="P40" i="6" l="1"/>
  <c r="G19" i="6"/>
  <c r="E19" i="6"/>
  <c r="F19" i="6"/>
  <c r="E34" i="5" l="1"/>
  <c r="B17" i="2"/>
  <c r="B20" i="2"/>
  <c r="E21" i="2"/>
  <c r="F21" i="2"/>
  <c r="I21" i="2"/>
  <c r="D21" i="2"/>
  <c r="A14" i="19"/>
  <c r="A13" i="19"/>
  <c r="A14" i="18"/>
  <c r="A13" i="18"/>
  <c r="K5" i="6"/>
  <c r="J5" i="5"/>
  <c r="I28" i="16"/>
  <c r="J28" i="16"/>
  <c r="H28" i="16"/>
  <c r="B21" i="3"/>
  <c r="D2" i="3"/>
  <c r="A9" i="3"/>
  <c r="B15" i="3"/>
  <c r="K28" i="16" l="1"/>
  <c r="I47" i="6" l="1"/>
  <c r="K25" i="6"/>
  <c r="N25" i="6" s="1"/>
  <c r="I25" i="6"/>
  <c r="K24" i="6"/>
  <c r="N24" i="6" s="1"/>
  <c r="I24" i="6"/>
  <c r="K21" i="6"/>
  <c r="C47" i="6"/>
  <c r="C40" i="6"/>
  <c r="C33" i="6"/>
  <c r="C26" i="6"/>
  <c r="E29" i="5"/>
  <c r="E38" i="5" s="1"/>
  <c r="E26" i="5"/>
  <c r="E31" i="5" s="1"/>
  <c r="E25" i="5"/>
  <c r="I21" i="5"/>
  <c r="J20" i="5"/>
  <c r="J17" i="5" s="1"/>
  <c r="K20" i="5"/>
  <c r="I25" i="5"/>
  <c r="I20" i="5" s="1"/>
  <c r="L18" i="5"/>
  <c r="L24" i="5"/>
  <c r="L28" i="5"/>
  <c r="L33" i="5"/>
  <c r="L37" i="5"/>
  <c r="P25" i="6" l="1"/>
  <c r="K19" i="6"/>
  <c r="P24" i="6"/>
  <c r="N21" i="6"/>
  <c r="P21" i="6"/>
  <c r="P26" i="6"/>
  <c r="Q26" i="6" s="1"/>
  <c r="K62" i="6"/>
  <c r="I17" i="5"/>
  <c r="K68" i="6"/>
  <c r="I71" i="6"/>
  <c r="Q40" i="6"/>
  <c r="I23" i="5"/>
  <c r="I48" i="5" s="1"/>
  <c r="L20" i="5"/>
  <c r="A11" i="20"/>
  <c r="A10" i="20"/>
  <c r="K27" i="16"/>
  <c r="H36" i="15"/>
  <c r="I29" i="22"/>
  <c r="N68" i="6" l="1"/>
  <c r="N62" i="6"/>
  <c r="I50" i="5"/>
  <c r="I56" i="5"/>
  <c r="K54" i="5"/>
  <c r="K48" i="5"/>
  <c r="J54" i="5"/>
  <c r="J48" i="5"/>
  <c r="I54" i="5"/>
  <c r="I35" i="15"/>
  <c r="I22" i="22"/>
  <c r="I26" i="22" s="1"/>
  <c r="I30" i="22"/>
  <c r="H37" i="15"/>
  <c r="L21" i="5"/>
  <c r="J55" i="5" l="1"/>
  <c r="J49" i="5"/>
  <c r="O62" i="6"/>
  <c r="O68" i="6"/>
  <c r="O40" i="6"/>
  <c r="L56" i="5"/>
  <c r="L50" i="5"/>
  <c r="O26" i="6"/>
  <c r="L54" i="5"/>
  <c r="L48" i="5"/>
  <c r="I36" i="15"/>
  <c r="J35" i="15"/>
  <c r="K47" i="6"/>
  <c r="P47" i="6" s="1"/>
  <c r="I33" i="6"/>
  <c r="I37" i="15"/>
  <c r="K15" i="15"/>
  <c r="K71" i="6" l="1"/>
  <c r="K65" i="6"/>
  <c r="N47" i="6"/>
  <c r="O47" i="6" s="1"/>
  <c r="L51" i="5"/>
  <c r="J36" i="15"/>
  <c r="J18" i="15"/>
  <c r="K17" i="15"/>
  <c r="K36" i="15" s="1"/>
  <c r="I19" i="6"/>
  <c r="I69" i="6"/>
  <c r="L57" i="5"/>
  <c r="K35" i="15"/>
  <c r="Q47" i="6"/>
  <c r="M37" i="6" l="1"/>
  <c r="M23" i="6" s="1"/>
  <c r="J33" i="15"/>
  <c r="J37" i="15" s="1"/>
  <c r="L29" i="5"/>
  <c r="K18" i="15"/>
  <c r="K27" i="5"/>
  <c r="G19" i="21"/>
  <c r="L27" i="5"/>
  <c r="N71" i="6"/>
  <c r="N65" i="6"/>
  <c r="K19" i="5"/>
  <c r="K17" i="5" s="1"/>
  <c r="L17" i="5" s="1"/>
  <c r="K69" i="6"/>
  <c r="K63" i="6"/>
  <c r="N37" i="6" l="1"/>
  <c r="N23" i="6" s="1"/>
  <c r="N19" i="6" s="1"/>
  <c r="K33" i="15"/>
  <c r="H19" i="21" s="1"/>
  <c r="M33" i="6"/>
  <c r="P37" i="6"/>
  <c r="K55" i="5"/>
  <c r="K49" i="5"/>
  <c r="O19" i="6"/>
  <c r="L19" i="5"/>
  <c r="L55" i="5"/>
  <c r="O65" i="6"/>
  <c r="O71" i="6"/>
  <c r="L49" i="5" l="1"/>
  <c r="K37" i="15"/>
  <c r="M19" i="6"/>
  <c r="P19" i="6" s="1"/>
  <c r="P23" i="6"/>
  <c r="M63" i="6"/>
  <c r="M69" i="6"/>
  <c r="P33" i="6"/>
  <c r="Q33" i="6" s="1"/>
  <c r="N33" i="6"/>
  <c r="O33" i="6" s="1"/>
  <c r="Q19" i="6" l="1"/>
  <c r="N63" i="6"/>
  <c r="N69" i="6"/>
</calcChain>
</file>

<file path=xl/sharedStrings.xml><?xml version="1.0" encoding="utf-8"?>
<sst xmlns="http://schemas.openxmlformats.org/spreadsheetml/2006/main" count="1094" uniqueCount="329">
  <si>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</si>
  <si>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</si>
  <si>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</si>
  <si>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</si>
  <si>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</si>
  <si>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</si>
  <si>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</si>
  <si>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</si>
  <si>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</si>
  <si>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</si>
  <si>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</si>
  <si>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</si>
  <si>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</si>
  <si>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</si>
  <si>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</si>
  <si>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</si>
  <si>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</si>
  <si>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</si>
  <si>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</si>
  <si>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</si>
  <si>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</si>
  <si>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</si>
  <si>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</si>
  <si>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</si>
  <si>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</si>
  <si>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</si>
  <si>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</si>
  <si>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</si>
  <si>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</si>
  <si>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</si>
  <si>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</si>
  <si>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</si>
  <si>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</si>
  <si>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</si>
  <si>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</si>
  <si>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</si>
  <si>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</si>
  <si>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</si>
  <si>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</si>
  <si>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</si>
  <si>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</si>
  <si>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</si>
  <si>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</si>
  <si>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</si>
  <si>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</si>
  <si>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</si>
  <si>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</si>
  <si>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</si>
  <si>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</si>
  <si>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</si>
  <si>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</si>
  <si>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</si>
  <si>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</si>
  <si>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</si>
  <si>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</si>
  <si>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</si>
  <si>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</si>
  <si>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</si>
  <si>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</si>
  <si>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</si>
  <si>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</si>
  <si>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</si>
  <si>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</si>
  <si>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</si>
  <si>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</si>
  <si>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</si>
  <si>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</si>
  <si>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мероприятий подпрограммы 3 «Безопасность дорожного движения в Туруханском районе»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</si>
  <si>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</si>
  <si>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</si>
  <si>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</si>
  <si>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</si>
  <si>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</si>
  <si>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</si>
  <si>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</si>
  <si>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</si>
  <si>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</si>
  <si>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</si>
  <si>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</si>
  <si>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</si>
  <si>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</si>
  <si>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</si>
  <si>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</si>
  <si>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</si>
  <si>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</si>
  <si>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</si>
  <si>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</si>
  <si>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</si>
  <si>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</si>
  <si>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</si>
  <si>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</si>
  <si>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</si>
  <si>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</si>
  <si>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</si>
  <si>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</si>
  <si>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</si>
  <si>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</si>
  <si>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</si>
  <si>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</si>
  <si>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</si>
  <si>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</si>
  <si>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</si>
  <si>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</si>
  <si>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</si>
  <si>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</si>
  <si>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</si>
  <si>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</si>
  <si>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</si>
  <si>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</si>
  <si>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постановление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</si>
  <si>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</si>
  <si>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</si>
  <si>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</si>
  <si>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</si>
  <si>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</si>
  <si>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</si>
  <si>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</si>
  <si>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</si>
  <si>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</si>
  <si>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</si>
  <si>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</si>
  <si>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</si>
  <si>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</si>
  <si>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</si>
  <si>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</si>
  <si>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</si>
  <si>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</si>
  <si>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</si>
  <si>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</si>
  <si>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</si>
  <si>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</si>
  <si>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</si>
  <si>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</si>
  <si>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</si>
  <si>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</si>
  <si>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</si>
  <si>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</si>
  <si>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</si>
  <si>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</si>
  <si>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</si>
  <si>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</si>
  <si>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</si>
  <si>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</si>
  <si>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</si>
  <si>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</si>
  <si>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</si>
  <si>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</si>
  <si>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</si>
  <si>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</si>
  <si>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</si>
  <si>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</si>
  <si>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</si>
  <si>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</si>
  <si>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</si>
  <si>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</si>
  <si>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</si>
  <si>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</si>
  <si>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</si>
  <si>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</si>
  <si>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</si>
  <si>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</si>
  <si>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</si>
  <si>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</si>
  <si>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</si>
  <si>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6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</si>
  <si>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</si>
  <si>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</si>
  <si>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</si>
  <si>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</si>
  <si>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</si>
  <si>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</si>
  <si>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</si>
  <si>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</si>
  <si>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</si>
  <si>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</si>
  <si>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</si>
  <si>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</si>
  <si>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</si>
  <si>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</si>
  <si>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</si>
  <si>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</si>
  <si>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</si>
  <si>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</si>
  <si>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</si>
  <si>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</si>
  <si>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</si>
  <si>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</si>
  <si>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</si>
  <si>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</si>
  <si>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</si>
  <si>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</si>
  <si>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</si>
  <si>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</si>
  <si>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</si>
  <si>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</si>
  <si>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</si>
  <si>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</si>
  <si>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</si>
  <si>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</si>
  <si>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</si>
  <si>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</si>
  <si>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</si>
  <si>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</si>
  <si>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</si>
  <si>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</si>
  <si>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</si>
  <si>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</si>
  <si>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</si>
  <si>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</si>
  <si>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</si>
  <si>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</si>
  <si>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</si>
  <si>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</si>
  <si>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</si>
  <si>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</si>
  <si>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</si>
  <si>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</si>
  <si>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</si>
  <si>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</si>
  <si>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Расходы на содержание автомобильных дорог общего пользования местного значения за счет средств дорожного фонда Красноярского края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</si>
  <si>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</si>
  <si>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</si>
  <si>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</si>
  <si>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</si>
  <si>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</si>
  <si>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</si>
  <si>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0910075080</t>
  </si>
  <si>
    <t>0910075090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</si>
  <si>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</si>
  <si>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</si>
  <si>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</si>
  <si>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</si>
  <si>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</si>
  <si>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</si>
  <si>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</si>
  <si>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</si>
  <si>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</si>
  <si>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</si>
  <si>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</si>
  <si>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</si>
  <si>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</si>
  <si>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</si>
  <si>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</si>
  <si>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</si>
  <si>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</si>
  <si>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</si>
  <si>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</si>
  <si>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</si>
  <si>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</si>
  <si>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</si>
  <si>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</si>
  <si>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</si>
  <si>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</si>
  <si>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</si>
  <si>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3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</si>
  <si>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</si>
  <si>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</si>
  <si>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</si>
  <si>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</si>
  <si>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</si>
  <si>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</si>
  <si>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</si>
  <si>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</si>
  <si>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</si>
  <si>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</si>
  <si>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</si>
  <si>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</si>
  <si>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</si>
  <si>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</si>
  <si>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</si>
  <si>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</si>
  <si>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</si>
  <si>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</si>
  <si>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</si>
  <si>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</si>
  <si>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</si>
  <si>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</si>
  <si>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</si>
  <si>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</si>
  <si>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</si>
  <si>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</si>
  <si>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</si>
  <si>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</si>
  <si>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</si>
  <si>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</si>
  <si>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</si>
  <si>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093R374920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</si>
  <si>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</si>
  <si>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</si>
  <si>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</si>
  <si>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</si>
  <si>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</si>
  <si>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</si>
  <si>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</si>
  <si>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</si>
  <si>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</si>
  <si>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</si>
  <si>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</si>
  <si>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Отдельное мероприятие: Предоставление субсидии на обеспечение пассажирских перевозок автомобильным транспортом на территории МО Туруханский район</t>
  </si>
  <si>
    <t>Цель. Повышение безопасности услуг пассажирского автомобильного транспорта</t>
  </si>
  <si>
    <t>Приобретение автобусов</t>
  </si>
  <si>
    <t>шт.</t>
  </si>
  <si>
    <t>ведомственная отчетность программных мероприятий</t>
  </si>
  <si>
    <t>Отдельное мероприятие: Предоставление субсидии на организацию технического осмотра автомобильного транспорта</t>
  </si>
  <si>
    <t>Цель. Обеспечение технического осмотра автомобильного трнспорта</t>
  </si>
  <si>
    <t>Открытие пункта технического осмотра автомобильного транспорта</t>
  </si>
  <si>
    <t>Предоставление субсидии на обеспечение пассажирских перевозок автомобильным транспортом на территории МО Туруханский район</t>
  </si>
  <si>
    <t>Предоставление субсидии на организацию технического осмотра автомобильного транспорта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</si>
  <si>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</si>
  <si>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</si>
  <si>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</si>
  <si>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</si>
  <si>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 xml:space="preserve">Отдельное мероприятие: Предоставление субсидии на обеспечение пассажирских перевозок автомобильным транспортом на территории МО Туруханский район 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</si>
  <si>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</si>
  <si>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</si>
  <si>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</si>
  <si>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</si>
  <si>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 xml:space="preserve">утверждение Порядка предоставления грантов в форме субсидий на организацию технического осмотра автомобильного транспорта  </t>
  </si>
  <si>
    <t>094D276450</t>
  </si>
  <si>
    <t>813</t>
  </si>
  <si>
    <t>0920084230</t>
  </si>
  <si>
    <t>0920084240</t>
  </si>
  <si>
    <t>Отдельное мероприятие Задача 4. Обеспечение стабильной работы пассажирского автомобильного трнспорта</t>
  </si>
  <si>
    <t>Отдельное мероприятие Задача 5. Оказание услуг по проверке технического состояния автортранспортных средств</t>
  </si>
  <si>
    <t>Количество населенных пунктов Туруханского района, обеспеченных услугами доступа к сети интернет для неопределенного круга лиц не менее 3 населенных пуктов</t>
  </si>
  <si>
    <t>Приложение 2</t>
  </si>
  <si>
    <t>Приложение 1
к постановлению 
администрации  Туруханского района 
от10.02.2022№ 60 - п</t>
  </si>
  <si>
    <t>Приложение  2
к постановлению                                                                                                 администрации Туруханского района                       от 10.02.2022 № 60 - п</t>
  </si>
  <si>
    <t>Приложение 3
к постановлению                                                                                                     администрации Туруханского района                                                                           от 10.02.2022 № 60 -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</si>
</sst>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0.0"/>
    <numFmt numFmtId="171" formatCode="_-* #,##0.000_р_._-;\-* #,##0.000_р_._-;_-* &quot;-&quot;???_р_._-;_-@_-"/>
    <numFmt numFmtId="172" formatCode="0.000"/>
    <numFmt numFmtId="173" formatCode="_-* #,##0.0_р_._-;\-* #,##0.0_р_._-;_-* &quot;-&quot;??_р_._-;_-@_-"/>
    <numFmt numFmtId="174" formatCode="0.0000"/>
    <numFmt numFmtId="175" formatCode="[$-419]mmmm\ yyyy;@"/>
    <numFmt numFmtId="176" formatCode="_-* #,##0.0_р_._-;\-* #,##0.0_р_._-;_-* &quot;-&quot;?_р_._-;_-@_-"/>
    <numFmt numFmtId="177" formatCode="_-* #,##0.000\ _₽_-;\-* #,##0.000\ _₽_-;_-* &quot;-&quot;???\ _₽_-;_-@_-"/>
  </numFmts>
  <fonts count="2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2"/>
      <charset val="204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4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/>
    <xf numFmtId="167" fontId="2" fillId="0" borderId="1" xfId="2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indent="2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0" xfId="0" applyFont="1"/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3" fillId="0" borderId="1" xfId="2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/>
    <xf numFmtId="164" fontId="16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3" fillId="0" borderId="0" xfId="2" applyNumberFormat="1" applyFont="1"/>
    <xf numFmtId="169" fontId="6" fillId="4" borderId="1" xfId="2" applyNumberFormat="1" applyFont="1" applyFill="1" applyBorder="1" applyAlignment="1">
      <alignment vertical="center" wrapText="1"/>
    </xf>
    <xf numFmtId="169" fontId="6" fillId="0" borderId="1" xfId="2" applyNumberFormat="1" applyFont="1" applyBorder="1" applyAlignment="1">
      <alignment vertical="center" wrapText="1"/>
    </xf>
    <xf numFmtId="169" fontId="3" fillId="0" borderId="0" xfId="0" applyNumberFormat="1" applyFont="1"/>
    <xf numFmtId="169" fontId="3" fillId="0" borderId="0" xfId="2" applyNumberFormat="1" applyFont="1"/>
    <xf numFmtId="169" fontId="4" fillId="4" borderId="1" xfId="2" applyNumberFormat="1" applyFont="1" applyFill="1" applyBorder="1" applyAlignment="1">
      <alignment vertical="center" wrapText="1"/>
    </xf>
    <xf numFmtId="169" fontId="4" fillId="0" borderId="1" xfId="2" applyNumberFormat="1" applyFont="1" applyBorder="1" applyAlignment="1">
      <alignment vertical="center" wrapText="1"/>
    </xf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71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 wrapText="1"/>
    </xf>
    <xf numFmtId="2" fontId="19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5" fontId="8" fillId="5" borderId="1" xfId="2" applyNumberFormat="1" applyFont="1" applyFill="1" applyBorder="1" applyAlignment="1">
      <alignment horizontal="left" vertical="center" wrapText="1"/>
    </xf>
    <xf numFmtId="171" fontId="2" fillId="0" borderId="0" xfId="0" applyNumberFormat="1" applyFont="1"/>
    <xf numFmtId="49" fontId="8" fillId="3" borderId="1" xfId="0" applyNumberFormat="1" applyFont="1" applyFill="1" applyBorder="1" applyAlignment="1">
      <alignment horizontal="center" vertical="center"/>
    </xf>
    <xf numFmtId="165" fontId="8" fillId="3" borderId="1" xfId="2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9" fontId="3" fillId="0" borderId="12" xfId="0" applyNumberFormat="1" applyFont="1" applyBorder="1"/>
    <xf numFmtId="169" fontId="3" fillId="0" borderId="12" xfId="2" applyNumberFormat="1" applyFont="1" applyBorder="1"/>
    <xf numFmtId="0" fontId="3" fillId="0" borderId="12" xfId="0" applyFont="1" applyBorder="1"/>
    <xf numFmtId="169" fontId="3" fillId="0" borderId="0" xfId="0" applyNumberFormat="1" applyFont="1" applyBorder="1"/>
    <xf numFmtId="169" fontId="3" fillId="0" borderId="0" xfId="2" applyNumberFormat="1" applyFont="1" applyBorder="1"/>
    <xf numFmtId="0" fontId="3" fillId="0" borderId="0" xfId="0" applyFont="1" applyBorder="1"/>
    <xf numFmtId="169" fontId="3" fillId="0" borderId="11" xfId="0" applyNumberFormat="1" applyFont="1" applyBorder="1"/>
    <xf numFmtId="169" fontId="3" fillId="0" borderId="11" xfId="2" applyNumberFormat="1" applyFont="1" applyBorder="1"/>
    <xf numFmtId="0" fontId="3" fillId="0" borderId="11" xfId="0" applyFont="1" applyBorder="1"/>
    <xf numFmtId="169" fontId="9" fillId="0" borderId="1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17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173" fontId="13" fillId="0" borderId="1" xfId="2" applyNumberFormat="1" applyFont="1" applyBorder="1" applyAlignment="1">
      <alignment vertical="center" wrapText="1"/>
    </xf>
    <xf numFmtId="173" fontId="13" fillId="0" borderId="1" xfId="2" applyNumberFormat="1" applyFont="1" applyBorder="1" applyAlignment="1">
      <alignment vertical="center"/>
    </xf>
    <xf numFmtId="173" fontId="14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8" fillId="5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8" fillId="3" borderId="1" xfId="0" applyNumberFormat="1" applyFont="1" applyFill="1" applyBorder="1" applyAlignment="1">
      <alignment horizontal="left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72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174" fontId="13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64" fontId="13" fillId="0" borderId="1" xfId="2" applyFont="1" applyBorder="1" applyAlignment="1">
      <alignment horizontal="center" vertical="center" wrapText="1"/>
    </xf>
    <xf numFmtId="164" fontId="8" fillId="3" borderId="1" xfId="2" applyFont="1" applyFill="1" applyBorder="1" applyAlignment="1">
      <alignment horizontal="center" vertical="center" wrapText="1"/>
    </xf>
    <xf numFmtId="173" fontId="0" fillId="0" borderId="0" xfId="0" applyNumberForma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1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2" fillId="0" borderId="1" xfId="3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1" fontId="2" fillId="4" borderId="0" xfId="0" applyNumberFormat="1" applyFont="1" applyFill="1"/>
    <xf numFmtId="175" fontId="2" fillId="0" borderId="0" xfId="0" applyNumberFormat="1" applyFont="1"/>
    <xf numFmtId="175" fontId="2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75" fontId="2" fillId="2" borderId="1" xfId="0" applyNumberFormat="1" applyFont="1" applyFill="1" applyBorder="1" applyAlignment="1">
      <alignment vertical="center" wrapText="1"/>
    </xf>
    <xf numFmtId="175" fontId="2" fillId="0" borderId="1" xfId="0" applyNumberFormat="1" applyFont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1" fontId="0" fillId="4" borderId="1" xfId="0" applyNumberFormat="1" applyFont="1" applyFill="1" applyBorder="1" applyAlignment="1">
      <alignment vertical="center" wrapText="1"/>
    </xf>
    <xf numFmtId="2" fontId="0" fillId="4" borderId="1" xfId="0" applyNumberFormat="1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64" fontId="2" fillId="0" borderId="1" xfId="2" applyFont="1" applyFill="1" applyBorder="1" applyAlignment="1">
      <alignment vertical="center" wrapText="1"/>
    </xf>
    <xf numFmtId="173" fontId="4" fillId="0" borderId="1" xfId="2" applyNumberFormat="1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vertical="center" wrapText="1"/>
    </xf>
    <xf numFmtId="176" fontId="0" fillId="0" borderId="0" xfId="0" applyNumberFormat="1"/>
    <xf numFmtId="164" fontId="0" fillId="0" borderId="0" xfId="2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3" fillId="0" borderId="0" xfId="2" applyFont="1"/>
    <xf numFmtId="17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7" borderId="1" xfId="2" applyNumberFormat="1" applyFont="1" applyFill="1" applyBorder="1" applyAlignment="1">
      <alignment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9" fontId="24" fillId="0" borderId="0" xfId="0" applyNumberFormat="1" applyFont="1" applyBorder="1"/>
    <xf numFmtId="49" fontId="8" fillId="3" borderId="1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165" fontId="4" fillId="7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4" fontId="4" fillId="7" borderId="1" xfId="2" applyNumberFormat="1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/>
    </xf>
    <xf numFmtId="164" fontId="4" fillId="7" borderId="1" xfId="2" applyFont="1" applyFill="1" applyBorder="1" applyAlignment="1">
      <alignment horizontal="center" vertical="center" wrapText="1"/>
    </xf>
    <xf numFmtId="169" fontId="4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/>
    <xf numFmtId="175" fontId="6" fillId="0" borderId="1" xfId="0" applyNumberFormat="1" applyFont="1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1" fillId="7" borderId="1" xfId="2" applyNumberFormat="1" applyFont="1" applyFill="1" applyBorder="1" applyAlignment="1">
      <alignment vertical="center" wrapText="1"/>
    </xf>
    <xf numFmtId="165" fontId="5" fillId="7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168" fontId="2" fillId="0" borderId="0" xfId="2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9" fontId="8" fillId="4" borderId="1" xfId="2" applyNumberFormat="1" applyFont="1" applyFill="1" applyBorder="1" applyAlignment="1">
      <alignment vertical="center" wrapText="1"/>
    </xf>
    <xf numFmtId="169" fontId="8" fillId="0" borderId="1" xfId="2" applyNumberFormat="1" applyFont="1" applyBorder="1" applyAlignment="1">
      <alignment vertical="center" wrapText="1"/>
    </xf>
    <xf numFmtId="169" fontId="2" fillId="0" borderId="0" xfId="0" applyNumberFormat="1" applyFont="1"/>
    <xf numFmtId="169" fontId="2" fillId="0" borderId="0" xfId="2" applyNumberFormat="1" applyFont="1"/>
    <xf numFmtId="169" fontId="2" fillId="0" borderId="1" xfId="2" applyNumberFormat="1" applyFont="1" applyBorder="1" applyAlignment="1">
      <alignment vertical="center" wrapText="1"/>
    </xf>
    <xf numFmtId="169" fontId="2" fillId="0" borderId="12" xfId="0" applyNumberFormat="1" applyFont="1" applyBorder="1"/>
    <xf numFmtId="169" fontId="2" fillId="0" borderId="12" xfId="2" applyNumberFormat="1" applyFont="1" applyBorder="1"/>
    <xf numFmtId="0" fontId="2" fillId="0" borderId="12" xfId="0" applyFont="1" applyBorder="1"/>
    <xf numFmtId="169" fontId="2" fillId="0" borderId="0" xfId="0" applyNumberFormat="1" applyFont="1" applyBorder="1"/>
    <xf numFmtId="169" fontId="2" fillId="0" borderId="0" xfId="2" applyNumberFormat="1" applyFont="1" applyBorder="1"/>
    <xf numFmtId="0" fontId="2" fillId="0" borderId="0" xfId="0" applyFont="1" applyBorder="1"/>
    <xf numFmtId="169" fontId="2" fillId="0" borderId="11" xfId="0" applyNumberFormat="1" applyFont="1" applyBorder="1"/>
    <xf numFmtId="169" fontId="2" fillId="0" borderId="11" xfId="2" applyNumberFormat="1" applyFont="1" applyBorder="1"/>
    <xf numFmtId="0" fontId="2" fillId="0" borderId="11" xfId="0" applyFont="1" applyBorder="1"/>
    <xf numFmtId="169" fontId="8" fillId="0" borderId="12" xfId="0" applyNumberFormat="1" applyFont="1" applyBorder="1"/>
    <xf numFmtId="169" fontId="2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3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" fontId="6" fillId="0" borderId="2" xfId="0" applyNumberFormat="1" applyFont="1" applyFill="1" applyBorder="1" applyAlignment="1">
      <alignment horizontal="left" vertical="center" wrapText="1"/>
    </xf>
    <xf numFmtId="16" fontId="6" fillId="0" borderId="3" xfId="0" applyNumberFormat="1" applyFont="1" applyFill="1" applyBorder="1" applyAlignment="1">
      <alignment horizontal="left" vertical="center" wrapText="1"/>
    </xf>
    <xf numFmtId="16" fontId="6" fillId="0" borderId="4" xfId="0" applyNumberFormat="1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8;&#1077;&#1088;&#1088;&#1080;&#1090;&#1086;&#1088;&#1080;&#1072;&#1083;&#1100;&#1085;&#1086;&#1077;%20&#1091;&#1087;&#1088;&#1072;&#1074;&#1083;&#1077;&#1085;&#1080;&#1077;/&#1058;&#1088;&#1091;&#1076;&#1085;&#1086;&#1076;&#1086;&#1089;&#1090;&#1091;&#1087;&#1085;&#1072;&#1103;%20&#1089;&#1074;&#1103;&#1079;&#1100;/&#1087;&#1088;&#1080;&#1083;&#1086;&#1078;&#1077;&#1085;&#1080;&#1103;%20&#1085;&#1072;%202022-2024%20%20&#1090;&#1088;&#1072;&#1085;&#1089;&#1087;&#1086;&#1088;&#1090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2"/>
      <sheetName val="Приложение 3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>
        <row r="15">
          <cell r="H15">
            <v>29634.3</v>
          </cell>
          <cell r="I15">
            <v>29634.3</v>
          </cell>
          <cell r="J15">
            <v>29634.3</v>
          </cell>
        </row>
        <row r="17">
          <cell r="H17">
            <v>0</v>
          </cell>
          <cell r="I17">
            <v>0</v>
          </cell>
          <cell r="J17">
            <v>0</v>
          </cell>
        </row>
        <row r="19">
          <cell r="H19">
            <v>1650.83</v>
          </cell>
          <cell r="I19">
            <v>1650.83</v>
          </cell>
          <cell r="J19">
            <v>1650.83</v>
          </cell>
          <cell r="K19">
            <v>4952.49</v>
          </cell>
        </row>
        <row r="20">
          <cell r="H20">
            <v>4400</v>
          </cell>
          <cell r="I20">
            <v>4000</v>
          </cell>
          <cell r="J20">
            <v>4000</v>
          </cell>
        </row>
        <row r="22">
          <cell r="H22">
            <v>2638.7550000000001</v>
          </cell>
          <cell r="I22">
            <v>2638.7550000000001</v>
          </cell>
          <cell r="J22">
            <v>2638.7550000000001</v>
          </cell>
        </row>
        <row r="29">
          <cell r="H29">
            <v>32350</v>
          </cell>
          <cell r="I29">
            <v>32350</v>
          </cell>
          <cell r="J29">
            <v>32350</v>
          </cell>
        </row>
        <row r="33">
          <cell r="H33">
            <v>1600</v>
          </cell>
          <cell r="I33">
            <v>0</v>
          </cell>
          <cell r="J33">
            <v>0</v>
          </cell>
        </row>
        <row r="35">
          <cell r="H35">
            <v>72273.884999999995</v>
          </cell>
          <cell r="I35">
            <v>70273.884999999995</v>
          </cell>
          <cell r="J35">
            <v>70273.884999999995</v>
          </cell>
          <cell r="K35">
            <v>212821.65499999997</v>
          </cell>
        </row>
      </sheetData>
      <sheetData sheetId="3"/>
      <sheetData sheetId="4">
        <row r="16">
          <cell r="K16">
            <v>375502.19999999995</v>
          </cell>
        </row>
        <row r="17">
          <cell r="H17">
            <v>125167.4</v>
          </cell>
          <cell r="I17">
            <v>125167.4</v>
          </cell>
          <cell r="J17">
            <v>125167.4</v>
          </cell>
          <cell r="K17">
            <v>375502.19999999995</v>
          </cell>
        </row>
        <row r="18">
          <cell r="K18">
            <v>95135.687999999995</v>
          </cell>
        </row>
        <row r="19">
          <cell r="H19">
            <v>31711.896000000001</v>
          </cell>
          <cell r="I19">
            <v>31711.896000000001</v>
          </cell>
          <cell r="J19">
            <v>31711.896000000001</v>
          </cell>
          <cell r="K19">
            <v>95135.687999999995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3">
          <cell r="H23">
            <v>0</v>
          </cell>
          <cell r="I23">
            <v>0</v>
          </cell>
          <cell r="J23">
            <v>0</v>
          </cell>
        </row>
        <row r="25">
          <cell r="H25">
            <v>0</v>
          </cell>
          <cell r="I25">
            <v>0</v>
          </cell>
          <cell r="J25">
            <v>0</v>
          </cell>
        </row>
        <row r="28">
          <cell r="K28">
            <v>12960</v>
          </cell>
        </row>
        <row r="29">
          <cell r="H29">
            <v>4320</v>
          </cell>
          <cell r="I29">
            <v>4320</v>
          </cell>
          <cell r="J29">
            <v>4320</v>
          </cell>
          <cell r="K29">
            <v>12960</v>
          </cell>
        </row>
        <row r="31">
          <cell r="K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K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8">
          <cell r="H38">
            <v>17500</v>
          </cell>
          <cell r="I38">
            <v>17500</v>
          </cell>
          <cell r="J38">
            <v>17500</v>
          </cell>
          <cell r="K38">
            <v>52500</v>
          </cell>
        </row>
        <row r="40">
          <cell r="H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H42">
            <v>178699.296</v>
          </cell>
          <cell r="I42">
            <v>178699.296</v>
          </cell>
          <cell r="J42">
            <v>178699.296</v>
          </cell>
          <cell r="K42">
            <v>536097.88799999992</v>
          </cell>
        </row>
      </sheetData>
      <sheetData sheetId="5"/>
      <sheetData sheetId="6">
        <row r="15">
          <cell r="H15">
            <v>0</v>
          </cell>
          <cell r="I15">
            <v>0</v>
          </cell>
          <cell r="J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178.6</v>
          </cell>
          <cell r="I18">
            <v>178.6</v>
          </cell>
          <cell r="J18">
            <v>178.6</v>
          </cell>
        </row>
        <row r="19">
          <cell r="H19">
            <v>178.6</v>
          </cell>
          <cell r="I19">
            <v>178.6</v>
          </cell>
          <cell r="J19">
            <v>178.6</v>
          </cell>
          <cell r="K19">
            <v>535.79999999999995</v>
          </cell>
        </row>
        <row r="22">
          <cell r="H22">
            <v>0</v>
          </cell>
          <cell r="I22">
            <v>0</v>
          </cell>
          <cell r="J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178.6</v>
          </cell>
          <cell r="I24">
            <v>178.6</v>
          </cell>
          <cell r="J24">
            <v>178.6</v>
          </cell>
          <cell r="K24">
            <v>535.79999999999995</v>
          </cell>
        </row>
      </sheetData>
      <sheetData sheetId="7"/>
      <sheetData sheetId="8">
        <row r="15">
          <cell r="H15">
            <v>10600</v>
          </cell>
          <cell r="I15">
            <v>10600</v>
          </cell>
          <cell r="J15">
            <v>10600</v>
          </cell>
          <cell r="K15">
            <v>31800</v>
          </cell>
        </row>
        <row r="17">
          <cell r="H17">
            <v>1731.39428</v>
          </cell>
        </row>
        <row r="18">
          <cell r="H18">
            <v>3.4697200000000001</v>
          </cell>
        </row>
        <row r="19">
          <cell r="H19">
            <v>1734.864</v>
          </cell>
          <cell r="I19">
            <v>0</v>
          </cell>
          <cell r="J19">
            <v>0</v>
          </cell>
          <cell r="K19">
            <v>1734.864</v>
          </cell>
        </row>
        <row r="20">
          <cell r="H20">
            <v>12334.864</v>
          </cell>
          <cell r="I20">
            <v>10600</v>
          </cell>
          <cell r="J20">
            <v>10600</v>
          </cell>
          <cell r="K20">
            <v>33534.864000000001</v>
          </cell>
          <cell r="L20" t="str">
            <v>Х</v>
          </cell>
        </row>
      </sheetData>
      <sheetData sheetId="9"/>
      <sheetData sheetId="10">
        <row r="18">
          <cell r="C18" t="str">
            <v>Развитие транспортной системы и связи Туруханского района</v>
          </cell>
          <cell r="L18">
            <v>782990.20699999994</v>
          </cell>
        </row>
        <row r="24">
          <cell r="C24" t="str">
            <v>Развитие транспортного комплекса, обеспечение сохранности и модернизации автомобильных дорог Туруханского района</v>
          </cell>
          <cell r="L24">
            <v>212821.65499999997</v>
          </cell>
        </row>
        <row r="28">
          <cell r="C28" t="str">
            <v>Организация транспортного обслуживания  на территории Туруханского района</v>
          </cell>
          <cell r="L28">
            <v>536097.88799999992</v>
          </cell>
        </row>
        <row r="33">
          <cell r="C33" t="str">
            <v>Безопасность дорожного движения в Туруханском районе</v>
          </cell>
          <cell r="L33">
            <v>535.79999999999995</v>
          </cell>
        </row>
        <row r="37">
          <cell r="C37" t="str">
            <v>Развитие связи на территории Туруханского района</v>
          </cell>
          <cell r="L37">
            <v>33534.864000000001</v>
          </cell>
        </row>
      </sheetData>
      <sheetData sheetId="11">
        <row r="17">
          <cell r="L17">
            <v>2022</v>
          </cell>
          <cell r="M17">
            <v>2023</v>
          </cell>
          <cell r="N17">
            <v>2024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view="pageBreakPreview" topLeftCell="A4" zoomScale="70" zoomScaleNormal="70" zoomScaleSheetLayoutView="70" workbookViewId="0">
      <selection activeCell="Q21" sqref="Q21"/>
    </sheetView>
  </sheetViews>
  <sheetFormatPr defaultRowHeight="15.75" outlineLevelRow="1" x14ac:dyDescent="0.25"/>
  <cols>
    <col min="1" max="1" width="6.375" style="4" customWidth="1"/>
    <col min="2" max="2" width="24.375" style="1" customWidth="1"/>
    <col min="3" max="3" width="11.75" style="1" customWidth="1"/>
    <col min="4" max="4" width="8.875" style="1" customWidth="1"/>
    <col min="5" max="5" width="12" style="1" customWidth="1"/>
    <col min="6" max="6" width="12.25" style="1" customWidth="1"/>
    <col min="7" max="7" width="11" style="1" customWidth="1"/>
    <col min="8" max="8" width="13.25" style="1" customWidth="1"/>
    <col min="9" max="13" width="10.25" style="1" customWidth="1"/>
    <col min="14" max="15" width="14.875" style="1" customWidth="1"/>
    <col min="16" max="16384" width="9" style="1"/>
  </cols>
  <sheetData>
    <row r="1" spans="1:15" ht="75.75" hidden="1" customHeight="1" outlineLevel="1" x14ac:dyDescent="0.25">
      <c r="J1" s="338" t="s">
        <v>252</v>
      </c>
      <c r="K1" s="338"/>
      <c r="L1" s="338"/>
      <c r="M1" s="338"/>
      <c r="N1" s="338"/>
      <c r="O1" s="338"/>
    </row>
    <row r="2" spans="1:15" hidden="1" outlineLevel="1" x14ac:dyDescent="0.25"/>
    <row r="3" spans="1:15" hidden="1" outlineLevel="1" x14ac:dyDescent="0.25"/>
    <row r="4" spans="1:15" ht="18.75" collapsed="1" x14ac:dyDescent="0.25">
      <c r="J4" s="3" t="s">
        <v>10</v>
      </c>
      <c r="K4" s="3"/>
      <c r="L4" s="3"/>
      <c r="M4" s="3"/>
      <c r="N4" s="30"/>
      <c r="O4" s="30"/>
    </row>
    <row r="5" spans="1:15" ht="56.25" customHeight="1" x14ac:dyDescent="0.25">
      <c r="J5" s="339" t="s">
        <v>139</v>
      </c>
      <c r="K5" s="339"/>
      <c r="L5" s="339"/>
      <c r="M5" s="339"/>
      <c r="N5" s="339"/>
      <c r="O5" s="339"/>
    </row>
    <row r="8" spans="1:15" ht="18.75" x14ac:dyDescent="0.25">
      <c r="A8" s="342" t="s">
        <v>1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</row>
    <row r="9" spans="1:15" ht="18.75" x14ac:dyDescent="0.25">
      <c r="A9" s="342" t="s">
        <v>9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</row>
    <row r="10" spans="1:15" ht="18.75" x14ac:dyDescent="0.25">
      <c r="A10" s="342" t="s">
        <v>7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</row>
    <row r="11" spans="1:15" ht="18.75" x14ac:dyDescent="0.25">
      <c r="A11" s="342" t="s">
        <v>8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</row>
    <row r="12" spans="1:15" ht="18.75" x14ac:dyDescent="0.25">
      <c r="A12" s="2"/>
    </row>
    <row r="13" spans="1:15" ht="24.75" customHeight="1" x14ac:dyDescent="0.25">
      <c r="A13" s="330" t="s">
        <v>19</v>
      </c>
      <c r="B13" s="330" t="s">
        <v>4</v>
      </c>
      <c r="C13" s="330" t="s">
        <v>2</v>
      </c>
      <c r="D13" s="330" t="s">
        <v>90</v>
      </c>
      <c r="E13" s="330" t="s">
        <v>5</v>
      </c>
      <c r="F13" s="330"/>
      <c r="G13" s="330"/>
      <c r="H13" s="330"/>
      <c r="I13" s="330"/>
      <c r="J13" s="330"/>
      <c r="K13" s="330"/>
      <c r="L13" s="330"/>
      <c r="M13" s="330"/>
      <c r="N13" s="330"/>
      <c r="O13" s="330"/>
    </row>
    <row r="14" spans="1:15" ht="72" customHeight="1" x14ac:dyDescent="0.25">
      <c r="A14" s="330"/>
      <c r="B14" s="330"/>
      <c r="C14" s="330"/>
      <c r="D14" s="330"/>
      <c r="E14" s="330" t="s">
        <v>56</v>
      </c>
      <c r="F14" s="330" t="s">
        <v>57</v>
      </c>
      <c r="G14" s="343" t="s">
        <v>61</v>
      </c>
      <c r="H14" s="330" t="s">
        <v>53</v>
      </c>
      <c r="I14" s="330" t="s">
        <v>54</v>
      </c>
      <c r="J14" s="330" t="s">
        <v>55</v>
      </c>
      <c r="K14" s="330" t="s">
        <v>58</v>
      </c>
      <c r="L14" s="330" t="s">
        <v>265</v>
      </c>
      <c r="M14" s="336" t="s">
        <v>287</v>
      </c>
      <c r="N14" s="335" t="s">
        <v>6</v>
      </c>
      <c r="O14" s="335"/>
    </row>
    <row r="15" spans="1:15" x14ac:dyDescent="0.25">
      <c r="A15" s="330"/>
      <c r="B15" s="330"/>
      <c r="C15" s="330"/>
      <c r="D15" s="330"/>
      <c r="E15" s="330"/>
      <c r="F15" s="330"/>
      <c r="G15" s="343"/>
      <c r="H15" s="330"/>
      <c r="I15" s="330"/>
      <c r="J15" s="330"/>
      <c r="K15" s="330"/>
      <c r="L15" s="330"/>
      <c r="M15" s="337"/>
      <c r="N15" s="146" t="s">
        <v>59</v>
      </c>
      <c r="O15" s="146" t="s">
        <v>60</v>
      </c>
    </row>
    <row r="16" spans="1:15" x14ac:dyDescent="0.25">
      <c r="A16" s="146">
        <v>1</v>
      </c>
      <c r="B16" s="146">
        <v>2</v>
      </c>
      <c r="C16" s="146">
        <v>3</v>
      </c>
      <c r="D16" s="146">
        <v>4</v>
      </c>
      <c r="E16" s="146">
        <v>5</v>
      </c>
      <c r="F16" s="146">
        <v>6</v>
      </c>
      <c r="G16" s="146">
        <v>7</v>
      </c>
      <c r="H16" s="146">
        <v>8</v>
      </c>
      <c r="I16" s="146">
        <v>9</v>
      </c>
      <c r="J16" s="146">
        <v>10</v>
      </c>
      <c r="K16" s="146">
        <v>11</v>
      </c>
      <c r="L16" s="197">
        <v>12</v>
      </c>
      <c r="M16" s="253">
        <v>13</v>
      </c>
      <c r="N16" s="197">
        <v>14</v>
      </c>
      <c r="O16" s="197">
        <v>15</v>
      </c>
    </row>
    <row r="17" spans="1:22" s="32" customFormat="1" x14ac:dyDescent="0.25">
      <c r="A17" s="147">
        <v>1</v>
      </c>
      <c r="B17" s="334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</row>
    <row r="18" spans="1:22" s="32" customFormat="1" ht="71.25" customHeight="1" x14ac:dyDescent="0.25">
      <c r="A18" s="332" t="s">
        <v>3</v>
      </c>
      <c r="B18" s="333" t="s">
        <v>136</v>
      </c>
      <c r="C18" s="147" t="s">
        <v>70</v>
      </c>
      <c r="D18" s="218">
        <f>E18</f>
        <v>120.8</v>
      </c>
      <c r="E18" s="72">
        <f>F18</f>
        <v>120.8</v>
      </c>
      <c r="F18" s="72">
        <v>120.8</v>
      </c>
      <c r="G18" s="72">
        <v>130.023</v>
      </c>
      <c r="H18" s="238">
        <v>156.34</v>
      </c>
      <c r="I18" s="219">
        <v>157.30000000000001</v>
      </c>
      <c r="J18" s="219">
        <v>157</v>
      </c>
      <c r="K18" s="219">
        <f t="shared" ref="K18:O19" si="0">J18</f>
        <v>157</v>
      </c>
      <c r="L18" s="219">
        <f t="shared" si="0"/>
        <v>157</v>
      </c>
      <c r="M18" s="219">
        <v>157</v>
      </c>
      <c r="N18" s="219">
        <f>K18</f>
        <v>157</v>
      </c>
      <c r="O18" s="219">
        <f t="shared" si="0"/>
        <v>157</v>
      </c>
    </row>
    <row r="19" spans="1:22" s="32" customFormat="1" ht="71.25" customHeight="1" x14ac:dyDescent="0.25">
      <c r="A19" s="332"/>
      <c r="B19" s="333"/>
      <c r="C19" s="147" t="s">
        <v>135</v>
      </c>
      <c r="D19" s="220">
        <f>E19</f>
        <v>46.39</v>
      </c>
      <c r="E19" s="220">
        <f>F19</f>
        <v>46.39</v>
      </c>
      <c r="F19" s="220">
        <v>46.39</v>
      </c>
      <c r="G19" s="220">
        <v>47.52</v>
      </c>
      <c r="H19" s="239">
        <v>57.14</v>
      </c>
      <c r="I19" s="240">
        <v>57.49</v>
      </c>
      <c r="J19" s="219">
        <v>57.3</v>
      </c>
      <c r="K19" s="219">
        <f t="shared" si="0"/>
        <v>57.3</v>
      </c>
      <c r="L19" s="219">
        <f t="shared" si="0"/>
        <v>57.3</v>
      </c>
      <c r="M19" s="219">
        <f>L19</f>
        <v>57.3</v>
      </c>
      <c r="N19" s="219">
        <f>K19</f>
        <v>57.3</v>
      </c>
      <c r="O19" s="219">
        <f t="shared" si="0"/>
        <v>57.3</v>
      </c>
    </row>
    <row r="20" spans="1:22" x14ac:dyDescent="0.25">
      <c r="A20" s="86">
        <v>2</v>
      </c>
      <c r="B20" s="331" t="str">
        <f>'пр 5 к МП'!B19:E19</f>
        <v>Цель муниципальной программы Туруханского района: повышение доступности транспортных услуг</v>
      </c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</row>
    <row r="21" spans="1:22" s="32" customFormat="1" ht="92.25" customHeight="1" x14ac:dyDescent="0.25">
      <c r="A21" s="183" t="s">
        <v>85</v>
      </c>
      <c r="B21" s="184" t="s">
        <v>261</v>
      </c>
      <c r="C21" s="185" t="s">
        <v>123</v>
      </c>
      <c r="D21" s="39">
        <f t="shared" ref="D21:I21" si="1">(D22+D23)*1000/D24</f>
        <v>13.264339719174577</v>
      </c>
      <c r="E21" s="39">
        <f t="shared" si="1"/>
        <v>13.638444873821653</v>
      </c>
      <c r="F21" s="39">
        <f t="shared" si="1"/>
        <v>14.499670875471246</v>
      </c>
      <c r="G21" s="39">
        <f t="shared" si="1"/>
        <v>13.02447428462952</v>
      </c>
      <c r="H21" s="39">
        <f t="shared" si="1"/>
        <v>12.647233936988339</v>
      </c>
      <c r="I21" s="39">
        <f t="shared" si="1"/>
        <v>10.762839884769079</v>
      </c>
      <c r="J21" s="39">
        <f>(J22+J23)*1000/J24</f>
        <v>10.960933211691271</v>
      </c>
      <c r="K21" s="39">
        <f>(K22+K23)*1000/K24</f>
        <v>10.96093321169127</v>
      </c>
      <c r="L21" s="39">
        <f>(L22+L23)*1000/L24</f>
        <v>10.96093321169127</v>
      </c>
      <c r="M21" s="39">
        <f>L21</f>
        <v>10.96093321169127</v>
      </c>
      <c r="N21" s="39">
        <f t="shared" ref="N21:O21" si="2">(N22+N23)*1000/N24</f>
        <v>10.960933211691266</v>
      </c>
      <c r="O21" s="39">
        <f t="shared" si="2"/>
        <v>10.960933211691268</v>
      </c>
    </row>
    <row r="22" spans="1:22" s="38" customFormat="1" ht="31.5" hidden="1" outlineLevel="1" x14ac:dyDescent="0.25">
      <c r="A22" s="34"/>
      <c r="B22" s="35" t="s">
        <v>150</v>
      </c>
      <c r="C22" s="36" t="s">
        <v>78</v>
      </c>
      <c r="D22" s="53">
        <v>9.3330000000000002</v>
      </c>
      <c r="E22" s="53">
        <f>(777+712+747+993+692+638+635+689+608+702+764+974)/1000</f>
        <v>8.9309999999999992</v>
      </c>
      <c r="F22" s="212">
        <f>(667+666+804+826+713+647+657+674+580+594+714+762)/1000</f>
        <v>8.3040000000000003</v>
      </c>
      <c r="G22" s="212">
        <v>8.2880000000000003</v>
      </c>
      <c r="H22" s="212">
        <v>7.5739999999999998</v>
      </c>
      <c r="I22" s="212">
        <v>7.8719999999999999</v>
      </c>
      <c r="J22" s="212">
        <f t="shared" ref="J22" si="3">I22</f>
        <v>7.8719999999999999</v>
      </c>
      <c r="K22" s="212">
        <f>K23/J23*J22</f>
        <v>7.733192612137203</v>
      </c>
      <c r="L22" s="212">
        <f>L23/K23*K22</f>
        <v>7.6004643799472298</v>
      </c>
      <c r="M22" s="212"/>
      <c r="N22" s="212">
        <f>N23/K23*K22</f>
        <v>7.1455408970976242</v>
      </c>
      <c r="O22" s="212">
        <f t="shared" ref="O22" si="4">O23/N23*N22</f>
        <v>6.8238522427440627</v>
      </c>
      <c r="P22" s="32"/>
      <c r="S22" s="38">
        <f>T22/U22</f>
        <v>8750.4156067643489</v>
      </c>
      <c r="T22" s="38">
        <f>745+450+643+899+919+825+673+707</f>
        <v>5861</v>
      </c>
      <c r="U22" s="38">
        <f>AVERAGE(U23:U24)</f>
        <v>0.66979675747849754</v>
      </c>
      <c r="V22" s="38">
        <f>700*5</f>
        <v>3500</v>
      </c>
    </row>
    <row r="23" spans="1:22" s="38" customFormat="1" ht="31.5" hidden="1" outlineLevel="1" x14ac:dyDescent="0.25">
      <c r="A23" s="34"/>
      <c r="B23" s="35" t="s">
        <v>151</v>
      </c>
      <c r="C23" s="36" t="s">
        <v>78</v>
      </c>
      <c r="D23" s="53">
        <v>224</v>
      </c>
      <c r="E23" s="53">
        <v>224</v>
      </c>
      <c r="F23" s="53">
        <v>234</v>
      </c>
      <c r="G23" s="212">
        <v>205.6129411764706</v>
      </c>
      <c r="H23" s="212">
        <v>196.34999999999997</v>
      </c>
      <c r="I23" s="212">
        <v>162.44994117647065</v>
      </c>
      <c r="J23" s="212">
        <v>162.44994117647065</v>
      </c>
      <c r="K23" s="186">
        <f>K24/J24*J23</f>
        <v>159.58545286433002</v>
      </c>
      <c r="L23" s="186">
        <f>L24/K24*K23</f>
        <v>156.84641659505689</v>
      </c>
      <c r="M23" s="186"/>
      <c r="N23" s="186">
        <f>N24/K24*K23</f>
        <v>147.45842205380771</v>
      </c>
      <c r="O23" s="186">
        <f t="shared" ref="O23" si="5">O24/N24*N23</f>
        <v>140.81991811873732</v>
      </c>
      <c r="P23" s="32"/>
      <c r="S23" s="38">
        <f>777+712+747+993+692+638+635+689+608+702+764+974</f>
        <v>8931</v>
      </c>
      <c r="T23" s="38">
        <f>777+712+747+993+692+638+635+689</f>
        <v>5883</v>
      </c>
      <c r="U23" s="38">
        <f>T23/S23</f>
        <v>0.65871682902250583</v>
      </c>
    </row>
    <row r="24" spans="1:22" s="38" customFormat="1" ht="31.5" hidden="1" outlineLevel="1" x14ac:dyDescent="0.25">
      <c r="A24" s="34"/>
      <c r="B24" s="35" t="s">
        <v>125</v>
      </c>
      <c r="C24" s="36" t="s">
        <v>83</v>
      </c>
      <c r="D24" s="37">
        <v>17591</v>
      </c>
      <c r="E24" s="37">
        <v>17079</v>
      </c>
      <c r="F24" s="37">
        <v>16711</v>
      </c>
      <c r="G24" s="210">
        <v>16423</v>
      </c>
      <c r="H24" s="210">
        <v>16124</v>
      </c>
      <c r="I24" s="210">
        <v>15825</v>
      </c>
      <c r="J24" s="210">
        <v>15539</v>
      </c>
      <c r="K24" s="211">
        <v>15265</v>
      </c>
      <c r="L24" s="211">
        <v>15003</v>
      </c>
      <c r="M24" s="211"/>
      <c r="N24" s="211">
        <v>14105</v>
      </c>
      <c r="O24" s="211">
        <v>13470</v>
      </c>
      <c r="P24" s="32"/>
      <c r="S24" s="38">
        <f>667+666+804+826+713+647+657+674+580+594+714+762</f>
        <v>8304</v>
      </c>
      <c r="T24" s="38">
        <f>667+666+804+826+713+647+657+674</f>
        <v>5654</v>
      </c>
      <c r="U24" s="38">
        <f>T24/S24</f>
        <v>0.68087668593448936</v>
      </c>
    </row>
    <row r="25" spans="1:22" ht="15.75" customHeight="1" collapsed="1" x14ac:dyDescent="0.25">
      <c r="A25" s="86">
        <v>3</v>
      </c>
      <c r="B25" s="331" t="str">
        <f>'пр 5 к МП'!B24:E24</f>
        <v>Цель муниципальной программы Туруханского района: повышение безопасности дорожного движения</v>
      </c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2"/>
    </row>
    <row r="26" spans="1:22" ht="54" customHeight="1" x14ac:dyDescent="0.25">
      <c r="A26" s="29" t="s">
        <v>117</v>
      </c>
      <c r="B26" s="87" t="s">
        <v>82</v>
      </c>
      <c r="C26" s="86" t="s">
        <v>83</v>
      </c>
      <c r="D26" s="281">
        <v>2</v>
      </c>
      <c r="E26" s="281">
        <v>1</v>
      </c>
      <c r="F26" s="281">
        <v>2</v>
      </c>
      <c r="G26" s="281">
        <v>0</v>
      </c>
      <c r="H26" s="283">
        <v>3</v>
      </c>
      <c r="I26" s="283">
        <v>3</v>
      </c>
      <c r="J26" s="283">
        <v>1</v>
      </c>
      <c r="K26" s="283">
        <v>1</v>
      </c>
      <c r="L26" s="283">
        <v>1</v>
      </c>
      <c r="M26" s="283">
        <f>L26</f>
        <v>1</v>
      </c>
      <c r="N26" s="283">
        <v>1</v>
      </c>
      <c r="O26" s="283">
        <v>1</v>
      </c>
      <c r="P26" s="32"/>
    </row>
    <row r="27" spans="1:22" s="32" customFormat="1" x14ac:dyDescent="0.25">
      <c r="A27" s="89">
        <v>4</v>
      </c>
      <c r="B27" s="331" t="str">
        <f>'пр 5 к МП'!B29:E29</f>
        <v>Цель муниципальной программы Туруханского района: развитие телекоммуникационных услуг на территории района</v>
      </c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</row>
    <row r="28" spans="1:22" s="32" customFormat="1" ht="47.25" x14ac:dyDescent="0.25">
      <c r="A28" s="31" t="s">
        <v>118</v>
      </c>
      <c r="B28" s="52" t="s">
        <v>89</v>
      </c>
      <c r="C28" s="89" t="s">
        <v>88</v>
      </c>
      <c r="D28" s="283">
        <v>8</v>
      </c>
      <c r="E28" s="283">
        <v>8</v>
      </c>
      <c r="F28" s="283">
        <v>8</v>
      </c>
      <c r="G28" s="283">
        <v>8</v>
      </c>
      <c r="H28" s="283">
        <v>8</v>
      </c>
      <c r="I28" s="283">
        <v>8</v>
      </c>
      <c r="J28" s="285">
        <v>11</v>
      </c>
      <c r="K28" s="285">
        <v>11</v>
      </c>
      <c r="L28" s="283">
        <v>8</v>
      </c>
      <c r="M28" s="283">
        <f>L28</f>
        <v>8</v>
      </c>
      <c r="N28" s="283">
        <v>8</v>
      </c>
      <c r="O28" s="283">
        <v>8</v>
      </c>
    </row>
    <row r="29" spans="1:22" ht="38.25" customHeight="1" x14ac:dyDescent="0.25">
      <c r="A29" s="340" t="s">
        <v>210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</row>
    <row r="30" spans="1:22" ht="18.75" x14ac:dyDescent="0.25">
      <c r="A30" s="2"/>
    </row>
  </sheetData>
  <mergeCells count="28">
    <mergeCell ref="J1:O1"/>
    <mergeCell ref="J5:O5"/>
    <mergeCell ref="A29:O29"/>
    <mergeCell ref="A8:O8"/>
    <mergeCell ref="A9:O9"/>
    <mergeCell ref="A10:O10"/>
    <mergeCell ref="A11:O11"/>
    <mergeCell ref="A13:A15"/>
    <mergeCell ref="B13:B15"/>
    <mergeCell ref="C13:C15"/>
    <mergeCell ref="D13:D15"/>
    <mergeCell ref="E13:O13"/>
    <mergeCell ref="E14:E15"/>
    <mergeCell ref="F14:F15"/>
    <mergeCell ref="G14:G15"/>
    <mergeCell ref="H14:H15"/>
    <mergeCell ref="I14:I15"/>
    <mergeCell ref="B27:O27"/>
    <mergeCell ref="A18:A19"/>
    <mergeCell ref="B18:B19"/>
    <mergeCell ref="J14:J15"/>
    <mergeCell ref="B17:O17"/>
    <mergeCell ref="B20:O20"/>
    <mergeCell ref="B25:O25"/>
    <mergeCell ref="K14:K15"/>
    <mergeCell ref="N14:O14"/>
    <mergeCell ref="L14:L15"/>
    <mergeCell ref="M14:M15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  <rowBreaks count="1" manualBreakCount="1">
    <brk id="24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5" zoomScaleNormal="100" zoomScaleSheetLayoutView="85" workbookViewId="0">
      <selection activeCell="A22" sqref="A22"/>
    </sheetView>
  </sheetViews>
  <sheetFormatPr defaultRowHeight="15.75" outlineLevelRow="1" x14ac:dyDescent="0.25"/>
  <cols>
    <col min="1" max="1" width="6.625" style="4" customWidth="1"/>
    <col min="2" max="2" width="15.75" style="1" customWidth="1"/>
    <col min="3" max="3" width="62.125" style="1" customWidth="1"/>
    <col min="4" max="4" width="16.375" style="1" customWidth="1"/>
    <col min="5" max="5" width="16.375" style="205" customWidth="1"/>
    <col min="6" max="6" width="13.25" style="1" customWidth="1"/>
    <col min="7" max="16384" width="9" style="1"/>
  </cols>
  <sheetData>
    <row r="1" spans="1:5" ht="18.75" x14ac:dyDescent="0.25">
      <c r="D1" s="391" t="s">
        <v>163</v>
      </c>
      <c r="E1" s="391"/>
    </row>
    <row r="2" spans="1:5" ht="73.5" customHeight="1" x14ac:dyDescent="0.25">
      <c r="D2" s="339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E2" s="339"/>
    </row>
    <row r="3" spans="1:5" ht="18.75" x14ac:dyDescent="0.25">
      <c r="A3" s="13"/>
    </row>
    <row r="4" spans="1:5" ht="18.75" x14ac:dyDescent="0.25">
      <c r="A4" s="13"/>
    </row>
    <row r="5" spans="1:5" ht="18.75" x14ac:dyDescent="0.25">
      <c r="A5" s="342" t="s">
        <v>0</v>
      </c>
      <c r="B5" s="342"/>
      <c r="C5" s="342"/>
      <c r="D5" s="342"/>
      <c r="E5" s="342"/>
    </row>
    <row r="6" spans="1:5" ht="18.75" x14ac:dyDescent="0.25">
      <c r="A6" s="342" t="s">
        <v>16</v>
      </c>
      <c r="B6" s="342"/>
      <c r="C6" s="342"/>
      <c r="D6" s="342"/>
      <c r="E6" s="342"/>
    </row>
    <row r="7" spans="1:5" ht="18.75" x14ac:dyDescent="0.25">
      <c r="A7" s="342" t="s">
        <v>17</v>
      </c>
      <c r="B7" s="342"/>
      <c r="C7" s="342"/>
      <c r="D7" s="342"/>
      <c r="E7" s="342"/>
    </row>
    <row r="8" spans="1:5" ht="18.75" x14ac:dyDescent="0.25">
      <c r="A8" s="342" t="s">
        <v>18</v>
      </c>
      <c r="B8" s="342"/>
      <c r="C8" s="342"/>
      <c r="D8" s="342"/>
      <c r="E8" s="342"/>
    </row>
    <row r="9" spans="1:5" ht="18.75" x14ac:dyDescent="0.25">
      <c r="A9" s="342" t="str">
        <f>CONCATENATE("Туруханского района """,'пр 6 к МП'!C17,"""")</f>
        <v>Туруханского района "Развитие транспортной системы и связи Туруханского района"</v>
      </c>
      <c r="B9" s="342"/>
      <c r="C9" s="342"/>
      <c r="D9" s="342"/>
      <c r="E9" s="342"/>
    </row>
    <row r="10" spans="1:5" ht="18.75" x14ac:dyDescent="0.25">
      <c r="A10" s="13"/>
    </row>
    <row r="11" spans="1:5" ht="63" x14ac:dyDescent="0.25">
      <c r="A11" s="17" t="s">
        <v>19</v>
      </c>
      <c r="B11" s="17" t="s">
        <v>11</v>
      </c>
      <c r="C11" s="17" t="s">
        <v>12</v>
      </c>
      <c r="D11" s="17" t="s">
        <v>13</v>
      </c>
      <c r="E11" s="206" t="s">
        <v>14</v>
      </c>
    </row>
    <row r="12" spans="1:5" x14ac:dyDescent="0.25">
      <c r="A12" s="17">
        <v>1</v>
      </c>
      <c r="B12" s="17">
        <v>2</v>
      </c>
      <c r="C12" s="17">
        <v>3</v>
      </c>
      <c r="D12" s="17">
        <v>4</v>
      </c>
      <c r="E12" s="197">
        <v>5</v>
      </c>
    </row>
    <row r="13" spans="1:5" ht="41.25" customHeight="1" x14ac:dyDescent="0.25">
      <c r="A13" s="18">
        <v>1</v>
      </c>
      <c r="B13" s="392" t="s">
        <v>152</v>
      </c>
      <c r="C13" s="392"/>
      <c r="D13" s="392"/>
      <c r="E13" s="392"/>
    </row>
    <row r="14" spans="1:5" ht="36" customHeight="1" x14ac:dyDescent="0.25">
      <c r="A14" s="330" t="s">
        <v>3</v>
      </c>
      <c r="B14" s="393" t="s">
        <v>153</v>
      </c>
      <c r="C14" s="393"/>
      <c r="D14" s="393"/>
      <c r="E14" s="393"/>
    </row>
    <row r="15" spans="1:5" ht="39.75" customHeight="1" x14ac:dyDescent="0.25">
      <c r="A15" s="330"/>
      <c r="B15" s="394" t="str">
        <f>CONCATENATE("Подпрограмма 1 """,'пр 6 к МП'!C23,"""")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94"/>
      <c r="D15" s="394"/>
      <c r="E15" s="394"/>
    </row>
    <row r="16" spans="1:5" ht="94.5" x14ac:dyDescent="0.25">
      <c r="A16" s="51" t="s">
        <v>127</v>
      </c>
      <c r="B16" s="48" t="s">
        <v>154</v>
      </c>
      <c r="C16" s="48" t="s">
        <v>155</v>
      </c>
      <c r="D16" s="51" t="s">
        <v>66</v>
      </c>
      <c r="E16" s="207">
        <v>43435</v>
      </c>
    </row>
    <row r="17" spans="1:5" ht="94.5" x14ac:dyDescent="0.25">
      <c r="A17" s="51" t="s">
        <v>159</v>
      </c>
      <c r="B17" s="48" t="s">
        <v>154</v>
      </c>
      <c r="C17" s="48" t="s">
        <v>156</v>
      </c>
      <c r="D17" s="51" t="s">
        <v>66</v>
      </c>
      <c r="E17" s="207">
        <v>43525</v>
      </c>
    </row>
    <row r="18" spans="1:5" ht="31.5" x14ac:dyDescent="0.25">
      <c r="A18" s="51" t="s">
        <v>160</v>
      </c>
      <c r="B18" s="48" t="s">
        <v>154</v>
      </c>
      <c r="C18" s="48" t="s">
        <v>157</v>
      </c>
      <c r="D18" s="51" t="s">
        <v>158</v>
      </c>
      <c r="E18" s="207">
        <v>43405</v>
      </c>
    </row>
    <row r="19" spans="1:5" ht="18" customHeight="1" x14ac:dyDescent="0.25">
      <c r="A19" s="18">
        <v>2</v>
      </c>
      <c r="B19" s="392" t="s">
        <v>148</v>
      </c>
      <c r="C19" s="392"/>
      <c r="D19" s="392"/>
      <c r="E19" s="392"/>
    </row>
    <row r="20" spans="1:5" ht="18" customHeight="1" x14ac:dyDescent="0.25">
      <c r="A20" s="330" t="s">
        <v>85</v>
      </c>
      <c r="B20" s="331" t="s">
        <v>126</v>
      </c>
      <c r="C20" s="331"/>
      <c r="D20" s="331"/>
      <c r="E20" s="331"/>
    </row>
    <row r="21" spans="1:5" ht="18" customHeight="1" x14ac:dyDescent="0.25">
      <c r="A21" s="330"/>
      <c r="B21" s="394" t="str">
        <f>CONCATENATE("Подпрограмма 2 """,'пр 6 к МП'!C27,"""")</f>
        <v>Подпрограмма 2 "Организация транспортного обслуживания  на территории Туруханского района"</v>
      </c>
      <c r="C21" s="394"/>
      <c r="D21" s="394"/>
      <c r="E21" s="394"/>
    </row>
    <row r="22" spans="1:5" ht="189" x14ac:dyDescent="0.25">
      <c r="A22" s="17" t="s">
        <v>128</v>
      </c>
      <c r="B22" s="16" t="s">
        <v>109</v>
      </c>
      <c r="C22" s="16" t="s">
        <v>111</v>
      </c>
      <c r="D22" s="17" t="s">
        <v>94</v>
      </c>
      <c r="E22" s="207">
        <v>43435</v>
      </c>
    </row>
    <row r="23" spans="1:5" ht="204.75" x14ac:dyDescent="0.25">
      <c r="A23" s="17" t="s">
        <v>130</v>
      </c>
      <c r="B23" s="16" t="s">
        <v>109</v>
      </c>
      <c r="C23" s="16" t="s">
        <v>110</v>
      </c>
      <c r="D23" s="17" t="s">
        <v>94</v>
      </c>
      <c r="E23" s="207">
        <v>43435</v>
      </c>
    </row>
    <row r="24" spans="1:5" ht="19.5" customHeight="1" x14ac:dyDescent="0.25">
      <c r="A24" s="18">
        <v>3</v>
      </c>
      <c r="B24" s="405" t="s">
        <v>122</v>
      </c>
      <c r="C24" s="406"/>
      <c r="D24" s="406"/>
      <c r="E24" s="407"/>
    </row>
    <row r="25" spans="1:5" ht="24" customHeight="1" x14ac:dyDescent="0.25">
      <c r="A25" s="336" t="s">
        <v>117</v>
      </c>
      <c r="B25" s="401" t="s">
        <v>132</v>
      </c>
      <c r="C25" s="402"/>
      <c r="D25" s="402"/>
      <c r="E25" s="403"/>
    </row>
    <row r="26" spans="1:5" ht="17.25" customHeight="1" x14ac:dyDescent="0.25">
      <c r="A26" s="337"/>
      <c r="B26" s="395" t="str">
        <f>CONCATENATE("Подпрограмма 3 """,'пр 6 к МП'!C32,"""")</f>
        <v>Подпрограмма 3 "Безопасность дорожного движения в Туруханском районе"</v>
      </c>
      <c r="C26" s="396"/>
      <c r="D26" s="396"/>
      <c r="E26" s="397"/>
    </row>
    <row r="27" spans="1:5" hidden="1" outlineLevel="1" x14ac:dyDescent="0.25">
      <c r="A27" s="40" t="s">
        <v>129</v>
      </c>
      <c r="B27" s="33"/>
      <c r="C27" s="33"/>
      <c r="D27" s="33"/>
      <c r="E27" s="208"/>
    </row>
    <row r="28" spans="1:5" hidden="1" outlineLevel="1" x14ac:dyDescent="0.25">
      <c r="A28" s="17"/>
      <c r="B28" s="16"/>
      <c r="C28" s="16"/>
      <c r="D28" s="16"/>
      <c r="E28" s="209"/>
    </row>
    <row r="29" spans="1:5" collapsed="1" x14ac:dyDescent="0.25">
      <c r="A29" s="18">
        <v>4</v>
      </c>
      <c r="B29" s="404" t="s">
        <v>149</v>
      </c>
      <c r="C29" s="404"/>
      <c r="D29" s="404"/>
      <c r="E29" s="404"/>
    </row>
    <row r="30" spans="1:5" ht="78.75" x14ac:dyDescent="0.25">
      <c r="A30" s="281" t="s">
        <v>131</v>
      </c>
      <c r="B30" s="282" t="s">
        <v>114</v>
      </c>
      <c r="C30" s="282" t="s">
        <v>112</v>
      </c>
      <c r="D30" s="281" t="s">
        <v>113</v>
      </c>
      <c r="E30" s="206">
        <v>43435</v>
      </c>
    </row>
    <row r="31" spans="1:5" ht="31.5" customHeight="1" x14ac:dyDescent="0.25">
      <c r="A31" s="286">
        <v>5</v>
      </c>
      <c r="B31" s="398" t="s">
        <v>312</v>
      </c>
      <c r="C31" s="399"/>
      <c r="D31" s="399"/>
      <c r="E31" s="400"/>
    </row>
    <row r="32" spans="1:5" ht="63.75" thickBot="1" x14ac:dyDescent="0.3">
      <c r="A32" s="287" t="s">
        <v>313</v>
      </c>
      <c r="B32" s="284" t="s">
        <v>314</v>
      </c>
      <c r="C32" s="288" t="s">
        <v>315</v>
      </c>
      <c r="D32" s="46" t="s">
        <v>65</v>
      </c>
      <c r="E32" s="206">
        <v>43891</v>
      </c>
    </row>
    <row r="33" spans="1:5" x14ac:dyDescent="0.25">
      <c r="A33" s="286">
        <v>6</v>
      </c>
      <c r="B33" s="289" t="s">
        <v>303</v>
      </c>
      <c r="C33" s="290"/>
      <c r="D33" s="290"/>
      <c r="E33" s="291"/>
    </row>
    <row r="34" spans="1:5" ht="63" x14ac:dyDescent="0.25">
      <c r="A34" s="287" t="s">
        <v>316</v>
      </c>
      <c r="B34" s="284" t="s">
        <v>314</v>
      </c>
      <c r="C34" s="292" t="s">
        <v>317</v>
      </c>
      <c r="D34" s="281" t="s">
        <v>65</v>
      </c>
      <c r="E34" s="206">
        <v>43891</v>
      </c>
    </row>
  </sheetData>
  <mergeCells count="21">
    <mergeCell ref="A25:A26"/>
    <mergeCell ref="B15:E15"/>
    <mergeCell ref="B21:E21"/>
    <mergeCell ref="B26:E26"/>
    <mergeCell ref="B31:E31"/>
    <mergeCell ref="B25:E25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7"/>
  <sheetViews>
    <sheetView view="pageBreakPreview" topLeftCell="A32" zoomScale="70" zoomScaleNormal="70" zoomScaleSheetLayoutView="70" zoomScalePageLayoutView="85" workbookViewId="0">
      <selection activeCell="A22" sqref="A22"/>
    </sheetView>
  </sheetViews>
  <sheetFormatPr defaultRowHeight="15.75" outlineLevelRow="1" x14ac:dyDescent="0.25"/>
  <cols>
    <col min="1" max="1" width="4.875" style="4" customWidth="1"/>
    <col min="2" max="2" width="16.625" style="1" customWidth="1"/>
    <col min="3" max="3" width="17.375" style="1" customWidth="1"/>
    <col min="4" max="4" width="25.625" style="1" customWidth="1"/>
    <col min="5" max="5" width="9" style="4"/>
    <col min="6" max="8" width="9" style="1"/>
    <col min="9" max="9" width="14.625" style="1" customWidth="1"/>
    <col min="10" max="10" width="18.625" style="1" bestFit="1" customWidth="1"/>
    <col min="11" max="11" width="14.25" style="1" customWidth="1"/>
    <col min="12" max="12" width="18.125" style="1" bestFit="1" customWidth="1"/>
    <col min="13" max="16384" width="9" style="1"/>
  </cols>
  <sheetData>
    <row r="1" spans="1:12" ht="84" hidden="1" customHeight="1" outlineLevel="1" x14ac:dyDescent="0.3">
      <c r="J1" s="355" t="s">
        <v>254</v>
      </c>
      <c r="K1" s="355"/>
      <c r="L1" s="355"/>
    </row>
    <row r="2" spans="1:12" hidden="1" outlineLevel="1" x14ac:dyDescent="0.25"/>
    <row r="3" spans="1:12" hidden="1" outlineLevel="1" x14ac:dyDescent="0.25"/>
    <row r="4" spans="1:12" ht="15.75" customHeight="1" collapsed="1" x14ac:dyDescent="0.25">
      <c r="J4" s="111" t="s">
        <v>164</v>
      </c>
      <c r="K4" s="111"/>
      <c r="L4" s="20"/>
    </row>
    <row r="5" spans="1:12" ht="66" customHeight="1" x14ac:dyDescent="0.25">
      <c r="J5" s="339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K5" s="339"/>
      <c r="L5" s="339"/>
    </row>
    <row r="6" spans="1:12" ht="18.75" x14ac:dyDescent="0.25">
      <c r="A6" s="109"/>
    </row>
    <row r="7" spans="1:12" ht="18.75" x14ac:dyDescent="0.25">
      <c r="A7" s="109"/>
    </row>
    <row r="8" spans="1:12" ht="18.75" x14ac:dyDescent="0.25">
      <c r="A8" s="342" t="s">
        <v>0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</row>
    <row r="9" spans="1:12" ht="18.75" x14ac:dyDescent="0.25">
      <c r="A9" s="342" t="s">
        <v>115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</row>
    <row r="10" spans="1:12" ht="18.75" x14ac:dyDescent="0.25">
      <c r="A10" s="342" t="s">
        <v>116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</row>
    <row r="11" spans="1:12" ht="18.75" x14ac:dyDescent="0.25">
      <c r="A11" s="342" t="s">
        <v>36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</row>
    <row r="12" spans="1:12" ht="18.75" x14ac:dyDescent="0.25">
      <c r="A12" s="109"/>
    </row>
    <row r="13" spans="1:12" ht="18.75" x14ac:dyDescent="0.25">
      <c r="L13" s="5" t="s">
        <v>211</v>
      </c>
    </row>
    <row r="14" spans="1:12" ht="36" customHeight="1" x14ac:dyDescent="0.25">
      <c r="A14" s="411" t="s">
        <v>19</v>
      </c>
      <c r="B14" s="412" t="s">
        <v>33</v>
      </c>
      <c r="C14" s="411" t="s">
        <v>34</v>
      </c>
      <c r="D14" s="411" t="s">
        <v>22</v>
      </c>
      <c r="E14" s="411" t="s">
        <v>23</v>
      </c>
      <c r="F14" s="411"/>
      <c r="G14" s="411"/>
      <c r="H14" s="411"/>
      <c r="I14" s="144">
        <f>'пр 7 к МП'!K$16</f>
        <v>2020</v>
      </c>
      <c r="J14" s="203">
        <f>'пр 7 к МП'!L$16</f>
        <v>2021</v>
      </c>
      <c r="K14" s="203">
        <f>'пр 7 к МП'!M$16</f>
        <v>2022</v>
      </c>
      <c r="L14" s="411" t="s">
        <v>24</v>
      </c>
    </row>
    <row r="15" spans="1:12" ht="36" customHeight="1" x14ac:dyDescent="0.25">
      <c r="A15" s="411"/>
      <c r="B15" s="412"/>
      <c r="C15" s="411"/>
      <c r="D15" s="411"/>
      <c r="E15" s="112" t="s">
        <v>25</v>
      </c>
      <c r="F15" s="112" t="s">
        <v>26</v>
      </c>
      <c r="G15" s="112" t="s">
        <v>27</v>
      </c>
      <c r="H15" s="112" t="s">
        <v>28</v>
      </c>
      <c r="I15" s="112" t="s">
        <v>29</v>
      </c>
      <c r="J15" s="112" t="s">
        <v>29</v>
      </c>
      <c r="K15" s="112" t="s">
        <v>29</v>
      </c>
      <c r="L15" s="411"/>
    </row>
    <row r="16" spans="1:12" x14ac:dyDescent="0.25">
      <c r="A16" s="108">
        <v>1</v>
      </c>
      <c r="B16" s="108">
        <v>2</v>
      </c>
      <c r="C16" s="108">
        <v>3</v>
      </c>
      <c r="D16" s="108">
        <v>4</v>
      </c>
      <c r="E16" s="108">
        <v>5</v>
      </c>
      <c r="F16" s="108">
        <v>6</v>
      </c>
      <c r="G16" s="108">
        <v>7</v>
      </c>
      <c r="H16" s="108">
        <v>8</v>
      </c>
      <c r="I16" s="108">
        <v>9</v>
      </c>
      <c r="J16" s="108">
        <v>10</v>
      </c>
      <c r="K16" s="108">
        <v>11</v>
      </c>
      <c r="L16" s="108">
        <v>12</v>
      </c>
    </row>
    <row r="17" spans="1:12" ht="63" x14ac:dyDescent="0.25">
      <c r="A17" s="410">
        <v>1</v>
      </c>
      <c r="B17" s="413" t="s">
        <v>39</v>
      </c>
      <c r="C17" s="413" t="s">
        <v>103</v>
      </c>
      <c r="D17" s="95" t="s">
        <v>104</v>
      </c>
      <c r="E17" s="96" t="s">
        <v>30</v>
      </c>
      <c r="F17" s="96" t="s">
        <v>30</v>
      </c>
      <c r="G17" s="96" t="s">
        <v>30</v>
      </c>
      <c r="H17" s="96" t="s">
        <v>30</v>
      </c>
      <c r="I17" s="97">
        <f>SUM(I19:I22)</f>
        <v>237623.06899999996</v>
      </c>
      <c r="J17" s="97">
        <f t="shared" ref="J17:K17" si="0">SUM(J19:J22)</f>
        <v>220002.17899999997</v>
      </c>
      <c r="K17" s="97">
        <f t="shared" si="0"/>
        <v>221141.97899999999</v>
      </c>
      <c r="L17" s="97">
        <f>SUM(I17:K17)</f>
        <v>678767.22699999996</v>
      </c>
    </row>
    <row r="18" spans="1:12" x14ac:dyDescent="0.25">
      <c r="A18" s="410"/>
      <c r="B18" s="413"/>
      <c r="C18" s="413"/>
      <c r="D18" s="95" t="s">
        <v>31</v>
      </c>
      <c r="E18" s="96"/>
      <c r="F18" s="96" t="s">
        <v>30</v>
      </c>
      <c r="G18" s="96" t="s">
        <v>30</v>
      </c>
      <c r="H18" s="96" t="s">
        <v>30</v>
      </c>
      <c r="I18" s="97"/>
      <c r="J18" s="97"/>
      <c r="K18" s="97"/>
      <c r="L18" s="97">
        <f t="shared" ref="L18:L37" si="1">SUM(I18:K18)</f>
        <v>0</v>
      </c>
    </row>
    <row r="19" spans="1:12" ht="31.5" x14ac:dyDescent="0.25">
      <c r="A19" s="410"/>
      <c r="B19" s="413"/>
      <c r="C19" s="413"/>
      <c r="D19" s="95" t="s">
        <v>65</v>
      </c>
      <c r="E19" s="96">
        <v>241</v>
      </c>
      <c r="F19" s="96" t="s">
        <v>30</v>
      </c>
      <c r="G19" s="96" t="s">
        <v>30</v>
      </c>
      <c r="H19" s="96" t="s">
        <v>30</v>
      </c>
      <c r="I19" s="97">
        <f>SUMIF($D$23:$D$39,$D19,I$23:I$39)</f>
        <v>173958.79399999999</v>
      </c>
      <c r="J19" s="97">
        <f t="shared" ref="J19:K19" si="2">SUMIF($D$23:$D$39,$D19,J$23:J$39)</f>
        <v>155658.79399999999</v>
      </c>
      <c r="K19" s="97">
        <f t="shared" si="2"/>
        <v>155658.79399999999</v>
      </c>
      <c r="L19" s="97">
        <f t="shared" si="1"/>
        <v>485276.38199999998</v>
      </c>
    </row>
    <row r="20" spans="1:12" ht="47.25" x14ac:dyDescent="0.25">
      <c r="A20" s="410"/>
      <c r="B20" s="413"/>
      <c r="C20" s="413"/>
      <c r="D20" s="95" t="s">
        <v>95</v>
      </c>
      <c r="E20" s="96">
        <v>242</v>
      </c>
      <c r="F20" s="96" t="s">
        <v>30</v>
      </c>
      <c r="G20" s="96" t="s">
        <v>30</v>
      </c>
      <c r="H20" s="96" t="s">
        <v>30</v>
      </c>
      <c r="I20" s="97">
        <f t="shared" ref="I20:K22" si="3">SUMIF($D$23:$D$39,$D20,I$23:I$39)</f>
        <v>3385.694</v>
      </c>
      <c r="J20" s="97">
        <f t="shared" si="3"/>
        <v>1650.83</v>
      </c>
      <c r="K20" s="97">
        <f t="shared" si="3"/>
        <v>1650.83</v>
      </c>
      <c r="L20" s="97">
        <f t="shared" si="1"/>
        <v>6687.3539999999994</v>
      </c>
    </row>
    <row r="21" spans="1:12" ht="63" x14ac:dyDescent="0.25">
      <c r="A21" s="410"/>
      <c r="B21" s="413"/>
      <c r="C21" s="413"/>
      <c r="D21" s="95" t="s">
        <v>66</v>
      </c>
      <c r="E21" s="96">
        <v>247</v>
      </c>
      <c r="F21" s="96" t="s">
        <v>30</v>
      </c>
      <c r="G21" s="96" t="s">
        <v>30</v>
      </c>
      <c r="H21" s="96" t="s">
        <v>30</v>
      </c>
      <c r="I21" s="97">
        <f t="shared" si="3"/>
        <v>60278.580999999991</v>
      </c>
      <c r="J21" s="97">
        <f t="shared" si="3"/>
        <v>62692.554999999993</v>
      </c>
      <c r="K21" s="97">
        <f t="shared" si="3"/>
        <v>63832.354999999996</v>
      </c>
      <c r="L21" s="97">
        <f>SUM(I21:K21)</f>
        <v>186803.49099999998</v>
      </c>
    </row>
    <row r="22" spans="1:12" ht="47.25" x14ac:dyDescent="0.25">
      <c r="A22" s="410"/>
      <c r="B22" s="413"/>
      <c r="C22" s="413"/>
      <c r="D22" s="95" t="s">
        <v>217</v>
      </c>
      <c r="E22" s="96">
        <v>243</v>
      </c>
      <c r="F22" s="96" t="s">
        <v>30</v>
      </c>
      <c r="G22" s="96" t="s">
        <v>30</v>
      </c>
      <c r="H22" s="96" t="s">
        <v>30</v>
      </c>
      <c r="I22" s="97">
        <f t="shared" si="3"/>
        <v>0</v>
      </c>
      <c r="J22" s="97">
        <f t="shared" si="3"/>
        <v>0</v>
      </c>
      <c r="K22" s="97">
        <f t="shared" si="3"/>
        <v>0</v>
      </c>
      <c r="L22" s="97">
        <f>SUM(I22:K22)</f>
        <v>0</v>
      </c>
    </row>
    <row r="23" spans="1:12" ht="78.75" x14ac:dyDescent="0.25">
      <c r="A23" s="408" t="s">
        <v>3</v>
      </c>
      <c r="B23" s="409" t="s">
        <v>15</v>
      </c>
      <c r="C23" s="409" t="s">
        <v>119</v>
      </c>
      <c r="D23" s="107" t="s">
        <v>35</v>
      </c>
      <c r="E23" s="108"/>
      <c r="F23" s="108" t="s">
        <v>30</v>
      </c>
      <c r="G23" s="108" t="s">
        <v>30</v>
      </c>
      <c r="H23" s="108" t="s">
        <v>30</v>
      </c>
      <c r="I23" s="261">
        <f>I25+I26</f>
        <v>60670.210999999996</v>
      </c>
      <c r="J23" s="261">
        <f t="shared" ref="J23:L23" si="4">J25+J26</f>
        <v>63964.784999999996</v>
      </c>
      <c r="K23" s="261">
        <f t="shared" si="4"/>
        <v>65104.584999999999</v>
      </c>
      <c r="L23" s="261">
        <f t="shared" si="4"/>
        <v>189339.58100000001</v>
      </c>
    </row>
    <row r="24" spans="1:12" x14ac:dyDescent="0.25">
      <c r="A24" s="408"/>
      <c r="B24" s="409"/>
      <c r="C24" s="409"/>
      <c r="D24" s="107" t="s">
        <v>31</v>
      </c>
      <c r="E24" s="108"/>
      <c r="F24" s="108" t="s">
        <v>30</v>
      </c>
      <c r="G24" s="108" t="s">
        <v>30</v>
      </c>
      <c r="H24" s="108" t="s">
        <v>30</v>
      </c>
      <c r="I24" s="261"/>
      <c r="J24" s="261"/>
      <c r="K24" s="261"/>
      <c r="L24" s="261">
        <f t="shared" si="1"/>
        <v>0</v>
      </c>
    </row>
    <row r="25" spans="1:12" ht="57" customHeight="1" x14ac:dyDescent="0.25">
      <c r="A25" s="408"/>
      <c r="B25" s="409"/>
      <c r="C25" s="409"/>
      <c r="D25" s="107" t="s">
        <v>95</v>
      </c>
      <c r="E25" s="108">
        <f>E20</f>
        <v>242</v>
      </c>
      <c r="F25" s="108" t="s">
        <v>30</v>
      </c>
      <c r="G25" s="108" t="s">
        <v>30</v>
      </c>
      <c r="H25" s="108" t="s">
        <v>30</v>
      </c>
      <c r="I25" s="261">
        <f>'пр к ПП1'!H19</f>
        <v>1650.83</v>
      </c>
      <c r="J25" s="261">
        <f>'пр к ПП1'!I19</f>
        <v>1650.83</v>
      </c>
      <c r="K25" s="261">
        <f>'пр к ПП1'!J19</f>
        <v>1650.83</v>
      </c>
      <c r="L25" s="261">
        <f>'пр к ПП1'!K19</f>
        <v>4952.49</v>
      </c>
    </row>
    <row r="26" spans="1:12" ht="63" x14ac:dyDescent="0.25">
      <c r="A26" s="408"/>
      <c r="B26" s="409"/>
      <c r="C26" s="409"/>
      <c r="D26" s="107" t="s">
        <v>66</v>
      </c>
      <c r="E26" s="108">
        <f>E21</f>
        <v>247</v>
      </c>
      <c r="F26" s="108" t="s">
        <v>30</v>
      </c>
      <c r="G26" s="108" t="s">
        <v>30</v>
      </c>
      <c r="H26" s="108" t="s">
        <v>30</v>
      </c>
      <c r="I26" s="261">
        <f>'пр к ПП1'!H15+'пр к ПП1'!H17+'пр к ПП1'!H20+'пр к ПП1'!H22+'пр к ПП1'!H27+'пр к ПП1'!H31</f>
        <v>59019.380999999994</v>
      </c>
      <c r="J26" s="261">
        <f>'пр к ПП1'!I15+'пр к ПП1'!I17+'пр к ПП1'!I20+'пр к ПП1'!I22+'пр к ПП1'!I27+'пр к ПП1'!I31</f>
        <v>62313.954999999994</v>
      </c>
      <c r="K26" s="261">
        <f>'пр к ПП1'!J15+'пр к ПП1'!J17+'пр к ПП1'!J20+'пр к ПП1'!J22+'пр к ПП1'!J27+'пр к ПП1'!J31</f>
        <v>63453.754999999997</v>
      </c>
      <c r="L26" s="261">
        <f>'пр к ПП1'!K15+'пр к ПП1'!K17+'пр к ПП1'!K20+'пр к ПП1'!K22+'пр к ПП1'!K27+'пр к ПП1'!K31</f>
        <v>184387.09100000001</v>
      </c>
    </row>
    <row r="27" spans="1:12" ht="31.5" x14ac:dyDescent="0.25">
      <c r="A27" s="408" t="s">
        <v>84</v>
      </c>
      <c r="B27" s="409" t="s">
        <v>91</v>
      </c>
      <c r="C27" s="409" t="s">
        <v>98</v>
      </c>
      <c r="D27" s="107" t="s">
        <v>32</v>
      </c>
      <c r="E27" s="108"/>
      <c r="F27" s="108" t="s">
        <v>30</v>
      </c>
      <c r="G27" s="108" t="s">
        <v>30</v>
      </c>
      <c r="H27" s="108" t="s">
        <v>30</v>
      </c>
      <c r="I27" s="261">
        <f>I29+I30+I31</f>
        <v>163358.79399999999</v>
      </c>
      <c r="J27" s="261">
        <f t="shared" ref="J27:L27" si="5">J29+J30+J31</f>
        <v>145058.79399999999</v>
      </c>
      <c r="K27" s="261">
        <f t="shared" si="5"/>
        <v>145058.79399999999</v>
      </c>
      <c r="L27" s="261">
        <f t="shared" si="5"/>
        <v>453476.38199999998</v>
      </c>
    </row>
    <row r="28" spans="1:12" x14ac:dyDescent="0.25">
      <c r="A28" s="408"/>
      <c r="B28" s="409"/>
      <c r="C28" s="409"/>
      <c r="D28" s="107" t="s">
        <v>31</v>
      </c>
      <c r="E28" s="108"/>
      <c r="F28" s="108" t="s">
        <v>30</v>
      </c>
      <c r="G28" s="108" t="s">
        <v>30</v>
      </c>
      <c r="H28" s="108" t="s">
        <v>30</v>
      </c>
      <c r="I28" s="261"/>
      <c r="J28" s="261"/>
      <c r="K28" s="261"/>
      <c r="L28" s="261">
        <f t="shared" si="1"/>
        <v>0</v>
      </c>
    </row>
    <row r="29" spans="1:12" ht="31.5" x14ac:dyDescent="0.25">
      <c r="A29" s="408"/>
      <c r="B29" s="409"/>
      <c r="C29" s="409"/>
      <c r="D29" s="107" t="s">
        <v>65</v>
      </c>
      <c r="E29" s="108">
        <f>E19</f>
        <v>241</v>
      </c>
      <c r="F29" s="108" t="s">
        <v>30</v>
      </c>
      <c r="G29" s="108" t="s">
        <v>30</v>
      </c>
      <c r="H29" s="108" t="s">
        <v>30</v>
      </c>
      <c r="I29" s="261">
        <f>'пр к ПП2'!H15+'пр к ПП2'!H17+'пр к ПП2'!H25+'пр к ПП2'!H28+'пр к ПП2'!H31</f>
        <v>163358.79399999999</v>
      </c>
      <c r="J29" s="261">
        <f>'пр к ПП2'!I15+'пр к ПП2'!I17+'пр к ПП2'!I25+'пр к ПП2'!I28+'пр к ПП2'!I31</f>
        <v>145058.79399999999</v>
      </c>
      <c r="K29" s="261">
        <f>'пр к ПП2'!J15+'пр к ПП2'!J17+'пр к ПП2'!J25+'пр к ПП2'!J28+'пр к ПП2'!J31</f>
        <v>145058.79399999999</v>
      </c>
      <c r="L29" s="261">
        <f>'пр к ПП2'!K15+'пр к ПП2'!K17+'пр к ПП2'!K25+'пр к ПП2'!K28+'пр к ПП2'!K31</f>
        <v>453476.38199999998</v>
      </c>
    </row>
    <row r="30" spans="1:12" ht="47.25" x14ac:dyDescent="0.25">
      <c r="A30" s="408"/>
      <c r="B30" s="409"/>
      <c r="C30" s="409"/>
      <c r="D30" s="107" t="s">
        <v>95</v>
      </c>
      <c r="E30" s="110">
        <f>E20</f>
        <v>242</v>
      </c>
      <c r="F30" s="108" t="s">
        <v>30</v>
      </c>
      <c r="G30" s="108" t="s">
        <v>30</v>
      </c>
      <c r="H30" s="108" t="s">
        <v>30</v>
      </c>
      <c r="I30" s="261">
        <f>'пр к ПП2'!H20</f>
        <v>0</v>
      </c>
      <c r="J30" s="261">
        <f>'пр к ПП2'!I20</f>
        <v>0</v>
      </c>
      <c r="K30" s="261">
        <f>'пр к ПП2'!J20</f>
        <v>0</v>
      </c>
      <c r="L30" s="261">
        <f>SUM(I30:K30)</f>
        <v>0</v>
      </c>
    </row>
    <row r="31" spans="1:12" ht="63" x14ac:dyDescent="0.25">
      <c r="A31" s="408"/>
      <c r="B31" s="409"/>
      <c r="C31" s="409"/>
      <c r="D31" s="188" t="s">
        <v>66</v>
      </c>
      <c r="E31" s="187">
        <f>E26</f>
        <v>247</v>
      </c>
      <c r="F31" s="187" t="s">
        <v>30</v>
      </c>
      <c r="G31" s="187" t="s">
        <v>30</v>
      </c>
      <c r="H31" s="187" t="s">
        <v>30</v>
      </c>
      <c r="I31" s="261">
        <f>'пр к ПП2'!H22</f>
        <v>0</v>
      </c>
      <c r="J31" s="261">
        <f>'пр к ПП2'!I22</f>
        <v>0</v>
      </c>
      <c r="K31" s="261">
        <f>'пр к ПП2'!J22</f>
        <v>0</v>
      </c>
      <c r="L31" s="261">
        <f t="shared" ref="L31" si="6">SUM(I31:K31)</f>
        <v>0</v>
      </c>
    </row>
    <row r="32" spans="1:12" ht="31.5" customHeight="1" x14ac:dyDescent="0.25">
      <c r="A32" s="408" t="s">
        <v>86</v>
      </c>
      <c r="B32" s="409" t="s">
        <v>92</v>
      </c>
      <c r="C32" s="409" t="s">
        <v>99</v>
      </c>
      <c r="D32" s="107" t="s">
        <v>32</v>
      </c>
      <c r="E32" s="108"/>
      <c r="F32" s="108" t="s">
        <v>30</v>
      </c>
      <c r="G32" s="108" t="s">
        <v>30</v>
      </c>
      <c r="H32" s="108" t="s">
        <v>30</v>
      </c>
      <c r="I32" s="261">
        <f>'пр к ПП3'!H24</f>
        <v>1259.2</v>
      </c>
      <c r="J32" s="261">
        <f>'пр к ПП3'!I24</f>
        <v>378.6</v>
      </c>
      <c r="K32" s="261">
        <f>'пр к ПП3'!J24</f>
        <v>378.6</v>
      </c>
      <c r="L32" s="261">
        <f>'пр к ПП3'!K24</f>
        <v>2016.4</v>
      </c>
    </row>
    <row r="33" spans="1:12" x14ac:dyDescent="0.25">
      <c r="A33" s="408"/>
      <c r="B33" s="409"/>
      <c r="C33" s="409"/>
      <c r="D33" s="107" t="s">
        <v>31</v>
      </c>
      <c r="E33" s="108"/>
      <c r="F33" s="108" t="s">
        <v>30</v>
      </c>
      <c r="G33" s="108" t="s">
        <v>30</v>
      </c>
      <c r="H33" s="108" t="s">
        <v>30</v>
      </c>
      <c r="I33" s="261"/>
      <c r="J33" s="261"/>
      <c r="K33" s="261"/>
      <c r="L33" s="261">
        <f t="shared" si="1"/>
        <v>0</v>
      </c>
    </row>
    <row r="34" spans="1:12" ht="63" x14ac:dyDescent="0.25">
      <c r="A34" s="408"/>
      <c r="B34" s="409"/>
      <c r="C34" s="409"/>
      <c r="D34" s="107" t="s">
        <v>66</v>
      </c>
      <c r="E34" s="108">
        <f>E21</f>
        <v>247</v>
      </c>
      <c r="F34" s="108" t="s">
        <v>30</v>
      </c>
      <c r="G34" s="108" t="s">
        <v>30</v>
      </c>
      <c r="H34" s="108" t="s">
        <v>30</v>
      </c>
      <c r="I34" s="261">
        <f>'пр к ПП3'!H17+'пр к ПП3'!H19+'пр к ПП3'!H23</f>
        <v>1259.2</v>
      </c>
      <c r="J34" s="261">
        <f>'пр к ПП3'!I17+'пр к ПП3'!I19+'пр к ПП3'!I23</f>
        <v>378.6</v>
      </c>
      <c r="K34" s="261">
        <f>'пр к ПП3'!J17+'пр к ПП3'!J19+'пр к ПП3'!J23</f>
        <v>378.6</v>
      </c>
      <c r="L34" s="261">
        <f>'пр к ПП3'!K17+'пр к ПП3'!K19+'пр к ПП3'!K23</f>
        <v>2016.4</v>
      </c>
    </row>
    <row r="35" spans="1:12" ht="47.25" x14ac:dyDescent="0.25">
      <c r="A35" s="408"/>
      <c r="B35" s="409"/>
      <c r="C35" s="409"/>
      <c r="D35" s="107" t="s">
        <v>217</v>
      </c>
      <c r="E35" s="110">
        <f>E22</f>
        <v>243</v>
      </c>
      <c r="F35" s="108" t="s">
        <v>30</v>
      </c>
      <c r="G35" s="108" t="s">
        <v>30</v>
      </c>
      <c r="H35" s="108" t="s">
        <v>30</v>
      </c>
      <c r="I35" s="261">
        <f>'пр к ПП3'!H15+'пр к ПП3'!H16</f>
        <v>0</v>
      </c>
      <c r="J35" s="261">
        <f>'пр к ПП3'!I15+'пр к ПП3'!I16</f>
        <v>0</v>
      </c>
      <c r="K35" s="261">
        <f>'пр к ПП3'!J15+'пр к ПП3'!J16</f>
        <v>0</v>
      </c>
      <c r="L35" s="261">
        <f>SUM(I35:K35)</f>
        <v>0</v>
      </c>
    </row>
    <row r="36" spans="1:12" ht="31.5" customHeight="1" x14ac:dyDescent="0.25">
      <c r="A36" s="408" t="s">
        <v>87</v>
      </c>
      <c r="B36" s="409" t="s">
        <v>93</v>
      </c>
      <c r="C36" s="409" t="s">
        <v>162</v>
      </c>
      <c r="D36" s="107" t="s">
        <v>32</v>
      </c>
      <c r="E36" s="108"/>
      <c r="F36" s="108" t="s">
        <v>30</v>
      </c>
      <c r="G36" s="108" t="s">
        <v>30</v>
      </c>
      <c r="H36" s="108" t="s">
        <v>30</v>
      </c>
      <c r="I36" s="261">
        <f>I38+I39</f>
        <v>12334.864</v>
      </c>
      <c r="J36" s="261">
        <f t="shared" ref="J36:L36" si="7">J38+J39</f>
        <v>10600</v>
      </c>
      <c r="K36" s="261">
        <f t="shared" si="7"/>
        <v>10600</v>
      </c>
      <c r="L36" s="261">
        <f t="shared" si="7"/>
        <v>33534.864000000001</v>
      </c>
    </row>
    <row r="37" spans="1:12" x14ac:dyDescent="0.25">
      <c r="A37" s="408"/>
      <c r="B37" s="409"/>
      <c r="C37" s="409"/>
      <c r="D37" s="107" t="s">
        <v>31</v>
      </c>
      <c r="E37" s="108"/>
      <c r="F37" s="108" t="s">
        <v>30</v>
      </c>
      <c r="G37" s="108" t="s">
        <v>30</v>
      </c>
      <c r="H37" s="108" t="s">
        <v>30</v>
      </c>
      <c r="I37" s="261"/>
      <c r="J37" s="261"/>
      <c r="K37" s="261"/>
      <c r="L37" s="261">
        <f t="shared" si="1"/>
        <v>0</v>
      </c>
    </row>
    <row r="38" spans="1:12" ht="31.5" x14ac:dyDescent="0.25">
      <c r="A38" s="408"/>
      <c r="B38" s="409"/>
      <c r="C38" s="409"/>
      <c r="D38" s="107" t="s">
        <v>65</v>
      </c>
      <c r="E38" s="108">
        <f>E29</f>
        <v>241</v>
      </c>
      <c r="F38" s="108" t="s">
        <v>30</v>
      </c>
      <c r="G38" s="108" t="s">
        <v>30</v>
      </c>
      <c r="H38" s="108" t="s">
        <v>30</v>
      </c>
      <c r="I38" s="261">
        <f>'пр к ПП4'!H15</f>
        <v>10600</v>
      </c>
      <c r="J38" s="261">
        <f>'пр к ПП4'!I15</f>
        <v>10600</v>
      </c>
      <c r="K38" s="261">
        <f>'пр к ПП4'!J15</f>
        <v>10600</v>
      </c>
      <c r="L38" s="261">
        <f>'пр к ПП4'!K15</f>
        <v>31800</v>
      </c>
    </row>
    <row r="39" spans="1:12" ht="47.25" x14ac:dyDescent="0.25">
      <c r="A39" s="408"/>
      <c r="B39" s="409"/>
      <c r="C39" s="409"/>
      <c r="D39" s="165" t="s">
        <v>95</v>
      </c>
      <c r="E39" s="164">
        <f>E30</f>
        <v>242</v>
      </c>
      <c r="F39" s="164" t="s">
        <v>30</v>
      </c>
      <c r="G39" s="164" t="s">
        <v>30</v>
      </c>
      <c r="H39" s="164" t="s">
        <v>30</v>
      </c>
      <c r="I39" s="261">
        <f>'пр к ПП4'!H19</f>
        <v>1734.864</v>
      </c>
      <c r="J39" s="261">
        <f>'пр к ПП4'!I19</f>
        <v>0</v>
      </c>
      <c r="K39" s="261">
        <f>'пр к ПП4'!J19</f>
        <v>0</v>
      </c>
      <c r="L39" s="261">
        <f>'пр к ПП4'!K19</f>
        <v>1734.864</v>
      </c>
    </row>
    <row r="47" spans="1:12" x14ac:dyDescent="0.25">
      <c r="B47" s="1" t="s">
        <v>230</v>
      </c>
    </row>
    <row r="48" spans="1:12" x14ac:dyDescent="0.25">
      <c r="B48" s="1" t="s">
        <v>231</v>
      </c>
      <c r="I48" s="1" t="b">
        <f>I23='пр к ПП1'!H33</f>
        <v>1</v>
      </c>
      <c r="J48" s="1" t="b">
        <f>J23='пр к ПП1'!I33</f>
        <v>1</v>
      </c>
      <c r="K48" s="1" t="b">
        <f>K23='пр к ПП1'!J33</f>
        <v>1</v>
      </c>
      <c r="L48" s="1" t="b">
        <f>L23='пр к ПП1'!K33</f>
        <v>0</v>
      </c>
    </row>
    <row r="49" spans="2:12" x14ac:dyDescent="0.25">
      <c r="B49" s="1" t="s">
        <v>232</v>
      </c>
      <c r="I49" s="1" t="b">
        <f>I27='пр к ПП2'!H33</f>
        <v>1</v>
      </c>
      <c r="J49" s="1" t="b">
        <f>J27='пр к ПП2'!I33</f>
        <v>1</v>
      </c>
      <c r="K49" s="1" t="b">
        <f>K27='пр к ПП2'!J33</f>
        <v>1</v>
      </c>
      <c r="L49" s="1" t="b">
        <f>L27='пр к ПП2'!K33</f>
        <v>1</v>
      </c>
    </row>
    <row r="50" spans="2:12" x14ac:dyDescent="0.25">
      <c r="B50" s="1" t="s">
        <v>233</v>
      </c>
      <c r="I50" s="1" t="b">
        <f>I32='пр к ПП3'!H24</f>
        <v>1</v>
      </c>
      <c r="J50" s="1" t="b">
        <f>J32='пр к ПП3'!I24</f>
        <v>1</v>
      </c>
      <c r="K50" s="1" t="b">
        <f>K32='пр к ПП3'!J24</f>
        <v>1</v>
      </c>
      <c r="L50" s="1" t="b">
        <f>L32='пр к ПП3'!K24</f>
        <v>1</v>
      </c>
    </row>
    <row r="51" spans="2:12" x14ac:dyDescent="0.25">
      <c r="B51" s="1" t="s">
        <v>234</v>
      </c>
      <c r="I51" s="1" t="b">
        <f>I36='пр к ПП4'!H20</f>
        <v>1</v>
      </c>
      <c r="J51" s="1" t="b">
        <f>J36='пр к ПП4'!I20</f>
        <v>1</v>
      </c>
      <c r="K51" s="1" t="b">
        <f>K36='пр к ПП4'!J20</f>
        <v>1</v>
      </c>
      <c r="L51" s="1" t="b">
        <f>L36='пр к ПП4'!K20</f>
        <v>1</v>
      </c>
    </row>
    <row r="54" spans="2:12" x14ac:dyDescent="0.25">
      <c r="B54" s="1" t="s">
        <v>231</v>
      </c>
      <c r="I54" s="123">
        <f>I23-'пр к ПП1'!H33</f>
        <v>0</v>
      </c>
      <c r="J54" s="123">
        <f>J23-'пр к ПП1'!I33</f>
        <v>0</v>
      </c>
      <c r="K54" s="123">
        <f>K23-'пр к ПП1'!J33</f>
        <v>0</v>
      </c>
      <c r="L54" s="123">
        <f>L23-'пр к ПП1'!K33</f>
        <v>-400</v>
      </c>
    </row>
    <row r="55" spans="2:12" x14ac:dyDescent="0.25">
      <c r="B55" s="1" t="s">
        <v>232</v>
      </c>
      <c r="I55" s="123">
        <f>I27-'пр к ПП2'!H33</f>
        <v>0</v>
      </c>
      <c r="J55" s="123">
        <f>J27-'пр к ПП2'!I33</f>
        <v>0</v>
      </c>
      <c r="K55" s="123">
        <f>K27-'пр к ПП2'!J33</f>
        <v>0</v>
      </c>
      <c r="L55" s="123">
        <f>L27-'пр к ПП2'!K33</f>
        <v>0</v>
      </c>
    </row>
    <row r="56" spans="2:12" x14ac:dyDescent="0.25">
      <c r="B56" s="1" t="s">
        <v>233</v>
      </c>
      <c r="I56" s="123">
        <f>I32-'пр к ПП3'!H24</f>
        <v>0</v>
      </c>
      <c r="J56" s="123">
        <f>J32-'пр к ПП3'!I24</f>
        <v>0</v>
      </c>
      <c r="K56" s="123">
        <f>K32-'пр к ПП3'!J24</f>
        <v>0</v>
      </c>
      <c r="L56" s="123">
        <f>L32-'пр к ПП3'!K24</f>
        <v>0</v>
      </c>
    </row>
    <row r="57" spans="2:12" x14ac:dyDescent="0.25">
      <c r="B57" s="1" t="s">
        <v>234</v>
      </c>
      <c r="I57" s="123">
        <f>I36-'пр к ПП4'!H20</f>
        <v>0</v>
      </c>
      <c r="J57" s="123">
        <f>J36-'пр к ПП4'!I20</f>
        <v>0</v>
      </c>
      <c r="K57" s="123">
        <f>K36-'пр к ПП4'!J20</f>
        <v>0</v>
      </c>
      <c r="L57" s="123">
        <f>L36-'пр к ПП4'!K20</f>
        <v>0</v>
      </c>
    </row>
  </sheetData>
  <mergeCells count="27">
    <mergeCell ref="J1:L1"/>
    <mergeCell ref="A36:A39"/>
    <mergeCell ref="B36:B39"/>
    <mergeCell ref="C36:C39"/>
    <mergeCell ref="J5:L5"/>
    <mergeCell ref="L14:L15"/>
    <mergeCell ref="A14:A15"/>
    <mergeCell ref="B14:B15"/>
    <mergeCell ref="C14:C15"/>
    <mergeCell ref="D14:D15"/>
    <mergeCell ref="E14:H14"/>
    <mergeCell ref="B17:B22"/>
    <mergeCell ref="C17:C22"/>
    <mergeCell ref="A23:A26"/>
    <mergeCell ref="B23:B26"/>
    <mergeCell ref="C23:C26"/>
    <mergeCell ref="A8:L8"/>
    <mergeCell ref="A32:A35"/>
    <mergeCell ref="B32:B35"/>
    <mergeCell ref="C32:C35"/>
    <mergeCell ref="A17:A22"/>
    <mergeCell ref="A9:L9"/>
    <mergeCell ref="A10:L10"/>
    <mergeCell ref="A11:L11"/>
    <mergeCell ref="A27:A31"/>
    <mergeCell ref="B27:B31"/>
    <mergeCell ref="C27:C31"/>
  </mergeCells>
  <pageMargins left="0.78740157480314965" right="0.78740157480314965" top="1.1811023622047245" bottom="0.17" header="0.31496062992125984" footer="0.31496062992125984"/>
  <pageSetup paperSize="9" scale="72" fitToHeight="0" orientation="landscape" r:id="rId1"/>
  <rowBreaks count="2" manualBreakCount="2">
    <brk id="22" max="11" man="1"/>
    <brk id="3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73"/>
  <sheetViews>
    <sheetView view="pageBreakPreview" topLeftCell="A4" zoomScale="70" zoomScaleNormal="70" zoomScaleSheetLayoutView="70" workbookViewId="0">
      <selection activeCell="A22" sqref="A22"/>
    </sheetView>
  </sheetViews>
  <sheetFormatPr defaultRowHeight="18.75" outlineLevelRow="1" outlineLevelCol="1" x14ac:dyDescent="0.3"/>
  <cols>
    <col min="1" max="1" width="5.375" style="19" customWidth="1"/>
    <col min="2" max="2" width="24.375" style="6" customWidth="1"/>
    <col min="3" max="3" width="25" style="6" customWidth="1"/>
    <col min="4" max="4" width="27.5" style="6" customWidth="1"/>
    <col min="5" max="5" width="17.25" style="41" customWidth="1" outlineLevel="1"/>
    <col min="6" max="8" width="14.25" style="41" customWidth="1" outlineLevel="1"/>
    <col min="9" max="10" width="14.625" style="41" customWidth="1" outlineLevel="1"/>
    <col min="11" max="11" width="16.125" style="6" customWidth="1"/>
    <col min="12" max="13" width="15.625" style="6" customWidth="1"/>
    <col min="14" max="14" width="18.125" style="6" bestFit="1" customWidth="1"/>
    <col min="15" max="15" width="14.875" style="6" hidden="1" customWidth="1" outlineLevel="1"/>
    <col min="16" max="16" width="17.875" style="77" hidden="1" customWidth="1" outlineLevel="1"/>
    <col min="17" max="17" width="10.75" style="6" hidden="1" customWidth="1" outlineLevel="1"/>
    <col min="18" max="18" width="12.5" style="6" bestFit="1" customWidth="1" collapsed="1"/>
    <col min="19" max="19" width="16.875" style="6" customWidth="1"/>
    <col min="20" max="20" width="11.375" style="6" bestFit="1" customWidth="1"/>
    <col min="21" max="23" width="9" style="6"/>
    <col min="24" max="24" width="11.375" style="6" bestFit="1" customWidth="1"/>
    <col min="25" max="16384" width="9" style="6"/>
  </cols>
  <sheetData>
    <row r="1" spans="1:14" ht="82.5" hidden="1" customHeight="1" outlineLevel="1" x14ac:dyDescent="0.3">
      <c r="K1" s="355" t="s">
        <v>255</v>
      </c>
      <c r="L1" s="355"/>
      <c r="M1" s="355"/>
      <c r="N1" s="355"/>
    </row>
    <row r="2" spans="1:14" hidden="1" outlineLevel="1" x14ac:dyDescent="0.3"/>
    <row r="3" spans="1:14" hidden="1" outlineLevel="1" x14ac:dyDescent="0.3"/>
    <row r="4" spans="1:14" collapsed="1" x14ac:dyDescent="0.3">
      <c r="K4" s="12" t="s">
        <v>165</v>
      </c>
    </row>
    <row r="5" spans="1:14" ht="61.5" customHeight="1" x14ac:dyDescent="0.3">
      <c r="K5" s="339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L5" s="339"/>
      <c r="M5" s="339"/>
      <c r="N5" s="339"/>
    </row>
    <row r="6" spans="1:14" x14ac:dyDescent="0.3">
      <c r="A6" s="13"/>
    </row>
    <row r="7" spans="1:14" x14ac:dyDescent="0.3">
      <c r="A7" s="13"/>
    </row>
    <row r="8" spans="1:14" x14ac:dyDescent="0.3">
      <c r="A8" s="342" t="s">
        <v>0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</row>
    <row r="9" spans="1:14" x14ac:dyDescent="0.3">
      <c r="A9" s="342" t="s">
        <v>41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</row>
    <row r="10" spans="1:14" x14ac:dyDescent="0.3">
      <c r="A10" s="342" t="s">
        <v>42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3">
      <c r="A11" s="342" t="s">
        <v>43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</row>
    <row r="12" spans="1:14" x14ac:dyDescent="0.3">
      <c r="A12" s="342" t="s">
        <v>44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</row>
    <row r="13" spans="1:14" x14ac:dyDescent="0.3">
      <c r="A13" s="342" t="s">
        <v>45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</row>
    <row r="14" spans="1:14" x14ac:dyDescent="0.3">
      <c r="A14" s="13"/>
    </row>
    <row r="15" spans="1:14" x14ac:dyDescent="0.3">
      <c r="N15" s="5" t="s">
        <v>211</v>
      </c>
    </row>
    <row r="16" spans="1:14" ht="27.75" customHeight="1" x14ac:dyDescent="0.3">
      <c r="A16" s="330" t="s">
        <v>19</v>
      </c>
      <c r="B16" s="411" t="s">
        <v>33</v>
      </c>
      <c r="C16" s="411" t="s">
        <v>34</v>
      </c>
      <c r="D16" s="330" t="s">
        <v>38</v>
      </c>
      <c r="E16" s="36">
        <v>2014</v>
      </c>
      <c r="F16" s="36">
        <v>2015</v>
      </c>
      <c r="G16" s="36">
        <v>2016</v>
      </c>
      <c r="H16" s="36">
        <v>2017</v>
      </c>
      <c r="I16" s="36" t="s">
        <v>54</v>
      </c>
      <c r="J16" s="36" t="s">
        <v>55</v>
      </c>
      <c r="K16" s="143">
        <v>2020</v>
      </c>
      <c r="L16" s="143">
        <v>2021</v>
      </c>
      <c r="M16" s="197">
        <v>2022</v>
      </c>
      <c r="N16" s="411" t="s">
        <v>24</v>
      </c>
    </row>
    <row r="17" spans="1:20" x14ac:dyDescent="0.3">
      <c r="A17" s="330"/>
      <c r="B17" s="411"/>
      <c r="C17" s="411"/>
      <c r="D17" s="330"/>
      <c r="E17" s="36"/>
      <c r="F17" s="36"/>
      <c r="G17" s="36"/>
      <c r="H17" s="36"/>
      <c r="I17" s="36"/>
      <c r="J17" s="36" t="s">
        <v>29</v>
      </c>
      <c r="K17" s="92" t="s">
        <v>29</v>
      </c>
      <c r="L17" s="92" t="s">
        <v>29</v>
      </c>
      <c r="M17" s="197" t="s">
        <v>29</v>
      </c>
      <c r="N17" s="411"/>
    </row>
    <row r="18" spans="1:20" x14ac:dyDescent="0.3">
      <c r="A18" s="137">
        <v>1</v>
      </c>
      <c r="B18" s="137">
        <v>2</v>
      </c>
      <c r="C18" s="137">
        <v>3</v>
      </c>
      <c r="D18" s="137">
        <v>4</v>
      </c>
      <c r="E18" s="36"/>
      <c r="F18" s="36"/>
      <c r="G18" s="36"/>
      <c r="H18" s="36"/>
      <c r="I18" s="36">
        <v>5</v>
      </c>
      <c r="J18" s="36">
        <v>6</v>
      </c>
      <c r="K18" s="137">
        <v>6</v>
      </c>
      <c r="L18" s="137">
        <v>7</v>
      </c>
      <c r="M18" s="197">
        <v>7</v>
      </c>
      <c r="N18" s="137">
        <v>8</v>
      </c>
    </row>
    <row r="19" spans="1:20" x14ac:dyDescent="0.3">
      <c r="A19" s="408">
        <v>1</v>
      </c>
      <c r="B19" s="414" t="s">
        <v>39</v>
      </c>
      <c r="C19" s="414" t="str">
        <f>'пр 6 к МП'!C17</f>
        <v>Развитие транспортной системы и связи Туруханского района</v>
      </c>
      <c r="D19" s="148" t="s">
        <v>37</v>
      </c>
      <c r="E19" s="78">
        <f t="shared" ref="E19:F19" si="0">E26+E33+E40+E47</f>
        <v>165376.84903000001</v>
      </c>
      <c r="F19" s="78">
        <f t="shared" si="0"/>
        <v>132504.82329</v>
      </c>
      <c r="G19" s="78">
        <f>G26+G33+G40+G47</f>
        <v>168993.47096999999</v>
      </c>
      <c r="H19" s="78">
        <f>H26+H33+H40+H47</f>
        <v>155455.69513999997</v>
      </c>
      <c r="I19" s="78">
        <f>I26+I33+I40+I47</f>
        <v>165993.04453999997</v>
      </c>
      <c r="J19" s="78">
        <f t="shared" ref="J19" si="1">J26+J33+J40+J47</f>
        <v>190229.62046000001</v>
      </c>
      <c r="K19" s="79">
        <f>K21+K22+K23+K24+K25</f>
        <v>237623.06899999999</v>
      </c>
      <c r="L19" s="79">
        <f>L21+L22+L23+L24+L25</f>
        <v>220002.17899999997</v>
      </c>
      <c r="M19" s="79">
        <f t="shared" ref="M19:N19" si="2">M21+M22+M23+M24+M25</f>
        <v>221141.97899999999</v>
      </c>
      <c r="N19" s="79">
        <f t="shared" si="2"/>
        <v>678767.22699999996</v>
      </c>
      <c r="O19" s="80">
        <f>N19-'пр 6 к МП'!L17</f>
        <v>0</v>
      </c>
      <c r="P19" s="81">
        <f>SUM(E19:M19)</f>
        <v>1657320.73043</v>
      </c>
      <c r="Q19" s="6" t="b">
        <f>SUM(P21:P25)=P19</f>
        <v>1</v>
      </c>
      <c r="S19" s="226"/>
    </row>
    <row r="20" spans="1:20" x14ac:dyDescent="0.3">
      <c r="A20" s="408"/>
      <c r="B20" s="414"/>
      <c r="C20" s="414"/>
      <c r="D20" s="138" t="s">
        <v>20</v>
      </c>
      <c r="E20" s="82"/>
      <c r="F20" s="82"/>
      <c r="G20" s="82"/>
      <c r="H20" s="82"/>
      <c r="I20" s="82"/>
      <c r="J20" s="82"/>
      <c r="K20" s="83"/>
      <c r="L20" s="83"/>
      <c r="M20" s="83"/>
      <c r="N20" s="83"/>
      <c r="O20" s="80"/>
      <c r="P20" s="81"/>
      <c r="S20" s="227"/>
    </row>
    <row r="21" spans="1:20" x14ac:dyDescent="0.3">
      <c r="A21" s="408"/>
      <c r="B21" s="414"/>
      <c r="C21" s="414"/>
      <c r="D21" s="7" t="s">
        <v>100</v>
      </c>
      <c r="E21" s="82">
        <f t="shared" ref="E21:I21" si="3">E28+E35+E42+E49</f>
        <v>0</v>
      </c>
      <c r="F21" s="82">
        <f t="shared" si="3"/>
        <v>0</v>
      </c>
      <c r="G21" s="82">
        <f t="shared" si="3"/>
        <v>0</v>
      </c>
      <c r="H21" s="82">
        <f t="shared" ref="H21" si="4">H28+H35+H42+H49</f>
        <v>0</v>
      </c>
      <c r="I21" s="82">
        <f t="shared" si="3"/>
        <v>0</v>
      </c>
      <c r="J21" s="82">
        <f t="shared" ref="J21:K21" si="5">J28+J35+J42+J49</f>
        <v>0</v>
      </c>
      <c r="K21" s="83">
        <f t="shared" si="5"/>
        <v>0</v>
      </c>
      <c r="L21" s="83">
        <f t="shared" ref="L21:M21" si="6">L28+L35+L42+L49</f>
        <v>0</v>
      </c>
      <c r="M21" s="83">
        <f t="shared" si="6"/>
        <v>0</v>
      </c>
      <c r="N21" s="83">
        <f t="shared" ref="N21:N25" si="7">SUM(K21:M21)</f>
        <v>0</v>
      </c>
      <c r="O21" s="80"/>
      <c r="P21" s="81">
        <f t="shared" ref="P21:P53" si="8">SUM(E21:M21)</f>
        <v>0</v>
      </c>
    </row>
    <row r="22" spans="1:20" x14ac:dyDescent="0.3">
      <c r="A22" s="408"/>
      <c r="B22" s="414"/>
      <c r="C22" s="414"/>
      <c r="D22" s="138" t="s">
        <v>101</v>
      </c>
      <c r="E22" s="82">
        <f>E29+E36+E43+E50</f>
        <v>33226.424510000004</v>
      </c>
      <c r="F22" s="82">
        <f t="shared" ref="F22:G22" si="9">F29+F36+F43+F50</f>
        <v>33544.400000000001</v>
      </c>
      <c r="G22" s="82">
        <f t="shared" si="9"/>
        <v>55791.640999999996</v>
      </c>
      <c r="H22" s="82">
        <f t="shared" ref="H22" si="10">H29+H36+H43+H50</f>
        <v>50192.994449999998</v>
      </c>
      <c r="I22" s="82">
        <f>I29+I36+I43+I50</f>
        <v>43661.469730000004</v>
      </c>
      <c r="J22" s="82">
        <f>J29+J36+J43+J50</f>
        <v>52152.521000000001</v>
      </c>
      <c r="K22" s="83">
        <f>K29+K36+K43+K50</f>
        <v>44356.694279999996</v>
      </c>
      <c r="L22" s="83">
        <f t="shared" ref="L22:M22" si="11">L29+L36+L43+L50</f>
        <v>44003.799999999996</v>
      </c>
      <c r="M22" s="83">
        <f t="shared" si="11"/>
        <v>45143.6</v>
      </c>
      <c r="N22" s="83">
        <f t="shared" si="7"/>
        <v>133504.09427999999</v>
      </c>
      <c r="O22" s="80"/>
      <c r="P22" s="81">
        <f>SUM(E22:M22)</f>
        <v>402073.54496999999</v>
      </c>
    </row>
    <row r="23" spans="1:20" x14ac:dyDescent="0.3">
      <c r="A23" s="408"/>
      <c r="B23" s="414"/>
      <c r="C23" s="414"/>
      <c r="D23" s="138" t="s">
        <v>40</v>
      </c>
      <c r="E23" s="82">
        <f>E30+E37+E44+E51</f>
        <v>132150.42452</v>
      </c>
      <c r="F23" s="82">
        <f t="shared" ref="F23:G23" si="12">F30+F37+F44+F51</f>
        <v>98960.423290000006</v>
      </c>
      <c r="G23" s="82">
        <f t="shared" si="12"/>
        <v>113001.82996999999</v>
      </c>
      <c r="H23" s="82">
        <f t="shared" ref="H23" si="13">H30+H37+H44+H51</f>
        <v>105262.70068999998</v>
      </c>
      <c r="I23" s="82">
        <f>I30+I37+I44+I51</f>
        <v>122331.57480999999</v>
      </c>
      <c r="J23" s="82">
        <f t="shared" ref="J23" si="14">J30+J37+J44+J51</f>
        <v>138077.09946</v>
      </c>
      <c r="K23" s="83">
        <f>K30+K37+K44+K51</f>
        <v>193266.37471999999</v>
      </c>
      <c r="L23" s="83">
        <f t="shared" ref="L23:N23" si="15">L30+L37+L44+L51</f>
        <v>175998.37899999999</v>
      </c>
      <c r="M23" s="83">
        <f t="shared" si="15"/>
        <v>175998.37899999999</v>
      </c>
      <c r="N23" s="83">
        <f t="shared" si="15"/>
        <v>545263.13271999999</v>
      </c>
      <c r="O23" s="80"/>
      <c r="P23" s="81">
        <f t="shared" si="8"/>
        <v>1255047.1854599998</v>
      </c>
    </row>
    <row r="24" spans="1:20" ht="48" x14ac:dyDescent="0.3">
      <c r="A24" s="408"/>
      <c r="B24" s="414"/>
      <c r="C24" s="414"/>
      <c r="D24" s="8" t="s">
        <v>102</v>
      </c>
      <c r="E24" s="82">
        <f t="shared" ref="E24:G24" si="16">E31+E38+E45+E52</f>
        <v>0</v>
      </c>
      <c r="F24" s="82">
        <f t="shared" si="16"/>
        <v>0</v>
      </c>
      <c r="G24" s="82">
        <f t="shared" si="16"/>
        <v>0</v>
      </c>
      <c r="H24" s="82">
        <f t="shared" ref="H24" si="17">H31+H38+H45+H52</f>
        <v>0</v>
      </c>
      <c r="I24" s="82">
        <f t="shared" ref="I24:K24" si="18">I31+I38+I45+I52</f>
        <v>0</v>
      </c>
      <c r="J24" s="82">
        <f t="shared" ref="J24" si="19">J31+J38+J45+J52</f>
        <v>0</v>
      </c>
      <c r="K24" s="83">
        <f t="shared" si="18"/>
        <v>0</v>
      </c>
      <c r="L24" s="83">
        <f t="shared" ref="L24:M24" si="20">L31+L38+L45+L52</f>
        <v>0</v>
      </c>
      <c r="M24" s="83">
        <f t="shared" si="20"/>
        <v>0</v>
      </c>
      <c r="N24" s="83">
        <f t="shared" si="7"/>
        <v>0</v>
      </c>
      <c r="O24" s="80"/>
      <c r="P24" s="81">
        <f t="shared" si="8"/>
        <v>0</v>
      </c>
    </row>
    <row r="25" spans="1:20" ht="19.5" thickBot="1" x14ac:dyDescent="0.35">
      <c r="A25" s="408"/>
      <c r="B25" s="414"/>
      <c r="C25" s="414"/>
      <c r="D25" s="138" t="s">
        <v>21</v>
      </c>
      <c r="E25" s="82">
        <f t="shared" ref="E25:G25" si="21">E32+E39+E46+E53</f>
        <v>0</v>
      </c>
      <c r="F25" s="82">
        <f t="shared" si="21"/>
        <v>0</v>
      </c>
      <c r="G25" s="82">
        <f t="shared" si="21"/>
        <v>200</v>
      </c>
      <c r="H25" s="82">
        <f t="shared" ref="H25" si="22">H32+H39+H46+H53</f>
        <v>0</v>
      </c>
      <c r="I25" s="82">
        <f t="shared" ref="I25:K25" si="23">I32+I39+I46+I53</f>
        <v>0</v>
      </c>
      <c r="J25" s="82">
        <f t="shared" ref="J25" si="24">J32+J39+J46+J53</f>
        <v>0</v>
      </c>
      <c r="K25" s="83">
        <f t="shared" si="23"/>
        <v>0</v>
      </c>
      <c r="L25" s="83">
        <f t="shared" ref="L25:M25" si="25">L32+L39+L46+L53</f>
        <v>0</v>
      </c>
      <c r="M25" s="83">
        <f t="shared" si="25"/>
        <v>0</v>
      </c>
      <c r="N25" s="83">
        <f t="shared" si="7"/>
        <v>0</v>
      </c>
      <c r="O25" s="80"/>
      <c r="P25" s="81">
        <f t="shared" si="8"/>
        <v>200</v>
      </c>
    </row>
    <row r="26" spans="1:20" s="129" customFormat="1" x14ac:dyDescent="0.3">
      <c r="A26" s="408" t="s">
        <v>3</v>
      </c>
      <c r="B26" s="414" t="s">
        <v>15</v>
      </c>
      <c r="C26" s="414" t="str">
        <f>'пр 6 к МП'!C23</f>
        <v>Развитие транспортного комплекса, обеспечение сохранности и модернизации автомобильных дорог Туруханского района</v>
      </c>
      <c r="D26" s="148" t="s">
        <v>37</v>
      </c>
      <c r="E26" s="78">
        <f>SUM(E28:E32)</f>
        <v>38654.857510000002</v>
      </c>
      <c r="F26" s="78">
        <f t="shared" ref="F26:H26" si="26">SUM(F28:F32)</f>
        <v>38642.90999</v>
      </c>
      <c r="G26" s="78">
        <f t="shared" si="26"/>
        <v>64679.243999999999</v>
      </c>
      <c r="H26" s="78">
        <f t="shared" si="26"/>
        <v>51991.447849999997</v>
      </c>
      <c r="I26" s="78">
        <f>SUM(I28:I32)</f>
        <v>46554.788160000011</v>
      </c>
      <c r="J26" s="78">
        <f t="shared" ref="J26" si="27">SUM(J28:J32)</f>
        <v>59160.668460000001</v>
      </c>
      <c r="K26" s="79">
        <f>SUM(K28:K32)</f>
        <v>60670.210999999996</v>
      </c>
      <c r="L26" s="79">
        <f t="shared" ref="L26:M26" si="28">SUM(L28:L32)</f>
        <v>63964.784999999996</v>
      </c>
      <c r="M26" s="79">
        <f t="shared" si="28"/>
        <v>65104.584999999999</v>
      </c>
      <c r="N26" s="79">
        <f>SUM(K26:M26)</f>
        <v>189739.58099999998</v>
      </c>
      <c r="O26" s="127">
        <f>N26-'пр 6 к МП'!L23</f>
        <v>399.9999999999709</v>
      </c>
      <c r="P26" s="128">
        <f t="shared" si="8"/>
        <v>489423.49697000004</v>
      </c>
      <c r="Q26" s="129" t="b">
        <f>SUM(P28:P32)=P26</f>
        <v>1</v>
      </c>
    </row>
    <row r="27" spans="1:20" s="132" customFormat="1" x14ac:dyDescent="0.3">
      <c r="A27" s="408"/>
      <c r="B27" s="414"/>
      <c r="C27" s="414"/>
      <c r="D27" s="138" t="s">
        <v>20</v>
      </c>
      <c r="E27" s="84"/>
      <c r="F27" s="84"/>
      <c r="G27" s="84"/>
      <c r="H27" s="84"/>
      <c r="I27" s="82"/>
      <c r="J27" s="82"/>
      <c r="K27" s="83"/>
      <c r="L27" s="83"/>
      <c r="M27" s="83"/>
      <c r="N27" s="83"/>
      <c r="O27" s="130"/>
      <c r="P27" s="131">
        <f t="shared" si="8"/>
        <v>0</v>
      </c>
    </row>
    <row r="28" spans="1:20" s="132" customFormat="1" x14ac:dyDescent="0.3">
      <c r="A28" s="408"/>
      <c r="B28" s="414"/>
      <c r="C28" s="414"/>
      <c r="D28" s="7" t="s">
        <v>100</v>
      </c>
      <c r="E28" s="84"/>
      <c r="F28" s="84"/>
      <c r="G28" s="84"/>
      <c r="H28" s="84"/>
      <c r="I28" s="82"/>
      <c r="J28" s="82"/>
      <c r="K28" s="83"/>
      <c r="L28" s="83"/>
      <c r="M28" s="83"/>
      <c r="N28" s="83">
        <f t="shared" ref="N28:N33" si="29">SUM(K28:M28)</f>
        <v>0</v>
      </c>
      <c r="O28" s="130"/>
      <c r="P28" s="131">
        <f t="shared" si="8"/>
        <v>0</v>
      </c>
    </row>
    <row r="29" spans="1:20" s="132" customFormat="1" x14ac:dyDescent="0.3">
      <c r="A29" s="408"/>
      <c r="B29" s="414"/>
      <c r="C29" s="414"/>
      <c r="D29" s="138" t="s">
        <v>101</v>
      </c>
      <c r="E29" s="84">
        <v>33203.024510000003</v>
      </c>
      <c r="F29" s="84">
        <v>33544.400000000001</v>
      </c>
      <c r="G29" s="84">
        <v>55649.004999999997</v>
      </c>
      <c r="H29" s="84">
        <v>47780.994449999998</v>
      </c>
      <c r="I29" s="82">
        <v>40519.269730000007</v>
      </c>
      <c r="J29" s="82">
        <f>49498.086-220.5</f>
        <v>49277.586000000003</v>
      </c>
      <c r="K29" s="83">
        <f>'пр к ПП1'!H15+'пр к ПП1'!H17+'пр к ПП1'!H24</f>
        <v>41366.1</v>
      </c>
      <c r="L29" s="83">
        <f>'пр к ПП1'!I15+'пр к ПП1'!I17+'пр к ПП1'!I24+'пр к ПП1'!I31</f>
        <v>43625.2</v>
      </c>
      <c r="M29" s="83">
        <f>'пр к ПП1'!J15+'пр к ПП1'!J17+'пр к ПП1'!J24+'пр к ПП1'!J31</f>
        <v>44765</v>
      </c>
      <c r="N29" s="83">
        <f t="shared" si="29"/>
        <v>129756.29999999999</v>
      </c>
      <c r="O29" s="130"/>
      <c r="P29" s="131">
        <f t="shared" si="8"/>
        <v>389730.57969000004</v>
      </c>
      <c r="R29" s="130"/>
    </row>
    <row r="30" spans="1:20" s="132" customFormat="1" x14ac:dyDescent="0.3">
      <c r="A30" s="408"/>
      <c r="B30" s="414"/>
      <c r="C30" s="414"/>
      <c r="D30" s="138" t="s">
        <v>40</v>
      </c>
      <c r="E30" s="84">
        <v>5451.8330000000005</v>
      </c>
      <c r="F30" s="84">
        <v>5098.5099900000005</v>
      </c>
      <c r="G30" s="84">
        <v>8830.2389999999996</v>
      </c>
      <c r="H30" s="84">
        <v>4210.4534000000003</v>
      </c>
      <c r="I30" s="82">
        <v>6035.5184300000001</v>
      </c>
      <c r="J30" s="82">
        <f>4174.297+5708.78546</f>
        <v>9883.0824599999996</v>
      </c>
      <c r="K30" s="83">
        <f>'пр к ПП1'!H20+'пр к ПП1'!H19+'пр к ПП1'!H22+'пр к ПП1'!H25+'пр к ПП1'!H27+'пр к ПП1'!H32</f>
        <v>19304.111000000001</v>
      </c>
      <c r="L30" s="83">
        <f>'пр к ПП1'!I20+'пр к ПП1'!I19+'пр к ПП1'!I22+'пр к ПП1'!I25+'пр к ПП1'!I27</f>
        <v>20339.584999999999</v>
      </c>
      <c r="M30" s="83">
        <f>'пр к ПП1'!J20+'пр к ПП1'!J19+'пр к ПП1'!J22+'пр к ПП1'!J25+'пр к ПП1'!J27</f>
        <v>20339.584999999999</v>
      </c>
      <c r="N30" s="83">
        <f t="shared" si="29"/>
        <v>59983.280999999995</v>
      </c>
      <c r="O30" s="130"/>
      <c r="P30" s="131">
        <f t="shared" si="8"/>
        <v>99492.917279999994</v>
      </c>
      <c r="T30" s="269"/>
    </row>
    <row r="31" spans="1:20" s="132" customFormat="1" ht="48" x14ac:dyDescent="0.3">
      <c r="A31" s="408"/>
      <c r="B31" s="414"/>
      <c r="C31" s="414"/>
      <c r="D31" s="8" t="s">
        <v>102</v>
      </c>
      <c r="E31" s="85"/>
      <c r="F31" s="85">
        <v>0</v>
      </c>
      <c r="G31" s="85"/>
      <c r="H31" s="85"/>
      <c r="I31" s="82"/>
      <c r="J31" s="82"/>
      <c r="K31" s="83"/>
      <c r="L31" s="83"/>
      <c r="M31" s="83"/>
      <c r="N31" s="83">
        <f t="shared" si="29"/>
        <v>0</v>
      </c>
      <c r="O31" s="130"/>
      <c r="P31" s="131">
        <f t="shared" si="8"/>
        <v>0</v>
      </c>
    </row>
    <row r="32" spans="1:20" s="135" customFormat="1" ht="19.5" thickBot="1" x14ac:dyDescent="0.35">
      <c r="A32" s="408"/>
      <c r="B32" s="414"/>
      <c r="C32" s="414"/>
      <c r="D32" s="138" t="s">
        <v>21</v>
      </c>
      <c r="E32" s="84"/>
      <c r="F32" s="84"/>
      <c r="G32" s="84">
        <v>200</v>
      </c>
      <c r="H32" s="84"/>
      <c r="I32" s="82"/>
      <c r="J32" s="82"/>
      <c r="K32" s="83"/>
      <c r="L32" s="83"/>
      <c r="M32" s="83"/>
      <c r="N32" s="83">
        <f t="shared" si="29"/>
        <v>0</v>
      </c>
      <c r="O32" s="133"/>
      <c r="P32" s="134">
        <f t="shared" si="8"/>
        <v>200</v>
      </c>
    </row>
    <row r="33" spans="1:17" s="129" customFormat="1" x14ac:dyDescent="0.3">
      <c r="A33" s="408" t="s">
        <v>84</v>
      </c>
      <c r="B33" s="414" t="s">
        <v>91</v>
      </c>
      <c r="C33" s="414" t="str">
        <f>'пр 6 к МП'!C27</f>
        <v>Организация транспортного обслуживания  на территории Туруханского района</v>
      </c>
      <c r="D33" s="148" t="s">
        <v>37</v>
      </c>
      <c r="E33" s="78">
        <f t="shared" ref="E33:H33" si="30">SUM(E35:E39)</f>
        <v>119174.72440000001</v>
      </c>
      <c r="F33" s="78">
        <f t="shared" si="30"/>
        <v>81921.9133</v>
      </c>
      <c r="G33" s="78">
        <f t="shared" si="30"/>
        <v>94460.706969999999</v>
      </c>
      <c r="H33" s="78">
        <f t="shared" si="30"/>
        <v>91047.031289999984</v>
      </c>
      <c r="I33" s="78">
        <f>SUM(I35:I39)</f>
        <v>106290.91970999999</v>
      </c>
      <c r="J33" s="78">
        <f>SUM(J35:J39)</f>
        <v>118180.678</v>
      </c>
      <c r="K33" s="79">
        <f>SUM(K35:K39)</f>
        <v>163358.79399999999</v>
      </c>
      <c r="L33" s="79">
        <f>SUM(L35:L39)</f>
        <v>145058.79399999999</v>
      </c>
      <c r="M33" s="79">
        <f t="shared" ref="M33" si="31">SUM(M35:M39)</f>
        <v>145058.79399999999</v>
      </c>
      <c r="N33" s="79">
        <f t="shared" si="29"/>
        <v>453476.38199999998</v>
      </c>
      <c r="O33" s="127">
        <f>N33-'пр 6 к МП'!L27</f>
        <v>0</v>
      </c>
      <c r="P33" s="128">
        <f t="shared" si="8"/>
        <v>1064552.35567</v>
      </c>
      <c r="Q33" s="129" t="b">
        <f>SUM(P35:P39)=P33</f>
        <v>1</v>
      </c>
    </row>
    <row r="34" spans="1:17" s="132" customFormat="1" x14ac:dyDescent="0.3">
      <c r="A34" s="408"/>
      <c r="B34" s="414"/>
      <c r="C34" s="414"/>
      <c r="D34" s="138" t="s">
        <v>20</v>
      </c>
      <c r="E34" s="84"/>
      <c r="F34" s="84"/>
      <c r="G34" s="84"/>
      <c r="H34" s="84"/>
      <c r="I34" s="82"/>
      <c r="J34" s="82"/>
      <c r="K34" s="83"/>
      <c r="L34" s="83"/>
      <c r="M34" s="83"/>
      <c r="N34" s="83"/>
      <c r="O34" s="130"/>
      <c r="P34" s="131">
        <f t="shared" si="8"/>
        <v>0</v>
      </c>
    </row>
    <row r="35" spans="1:17" s="132" customFormat="1" x14ac:dyDescent="0.3">
      <c r="A35" s="408"/>
      <c r="B35" s="414"/>
      <c r="C35" s="414"/>
      <c r="D35" s="7" t="s">
        <v>100</v>
      </c>
      <c r="E35" s="84"/>
      <c r="F35" s="84"/>
      <c r="G35" s="84"/>
      <c r="H35" s="84"/>
      <c r="I35" s="82"/>
      <c r="J35" s="82"/>
      <c r="K35" s="83"/>
      <c r="L35" s="83"/>
      <c r="M35" s="83"/>
      <c r="N35" s="83">
        <f t="shared" ref="N35:N40" si="32">SUM(K35:M35)</f>
        <v>0</v>
      </c>
      <c r="O35" s="130"/>
      <c r="P35" s="131">
        <f t="shared" si="8"/>
        <v>0</v>
      </c>
    </row>
    <row r="36" spans="1:17" s="132" customFormat="1" x14ac:dyDescent="0.3">
      <c r="A36" s="408"/>
      <c r="B36" s="414"/>
      <c r="C36" s="414"/>
      <c r="D36" s="138" t="s">
        <v>101</v>
      </c>
      <c r="E36" s="84"/>
      <c r="F36" s="84"/>
      <c r="G36" s="84"/>
      <c r="H36" s="84"/>
      <c r="I36" s="82"/>
      <c r="J36" s="82"/>
      <c r="K36" s="83"/>
      <c r="L36" s="83"/>
      <c r="M36" s="83"/>
      <c r="N36" s="83">
        <f t="shared" si="32"/>
        <v>0</v>
      </c>
      <c r="O36" s="130"/>
      <c r="P36" s="131">
        <f t="shared" si="8"/>
        <v>0</v>
      </c>
    </row>
    <row r="37" spans="1:17" s="132" customFormat="1" x14ac:dyDescent="0.3">
      <c r="A37" s="408"/>
      <c r="B37" s="414"/>
      <c r="C37" s="414"/>
      <c r="D37" s="138" t="s">
        <v>40</v>
      </c>
      <c r="E37" s="84">
        <v>119174.72440000001</v>
      </c>
      <c r="F37" s="84">
        <v>81921.9133</v>
      </c>
      <c r="G37" s="84">
        <v>94460.706969999999</v>
      </c>
      <c r="H37" s="84">
        <v>91047.031289999984</v>
      </c>
      <c r="I37" s="82">
        <v>106290.91970999999</v>
      </c>
      <c r="J37" s="82">
        <v>118180.678</v>
      </c>
      <c r="K37" s="83">
        <f>'пр к ПП2'!H16+'пр к ПП2'!H18+'пр к ПП2'!H26+'пр к ПП2'!H29+'пр к ПП2'!H32</f>
        <v>163358.79399999999</v>
      </c>
      <c r="L37" s="83">
        <f>'пр к ПП2'!I16+'пр к ПП2'!I18+'пр к ПП2'!I26+'пр к ПП2'!I29+'пр к ПП2'!I32</f>
        <v>145058.79399999999</v>
      </c>
      <c r="M37" s="83">
        <f>'пр к ПП2'!J16+'пр к ПП2'!J18+'пр к ПП2'!J26+'пр к ПП2'!J29+'пр к ПП2'!J32</f>
        <v>145058.79399999999</v>
      </c>
      <c r="N37" s="83">
        <f>'пр к ПП2'!K16+'пр к ПП2'!K18+'пр к ПП2'!K26+'пр к ПП2'!K29+'пр к ПП2'!K32</f>
        <v>453476.38199999998</v>
      </c>
      <c r="O37" s="130"/>
      <c r="P37" s="131">
        <f t="shared" si="8"/>
        <v>1064552.35567</v>
      </c>
    </row>
    <row r="38" spans="1:17" s="132" customFormat="1" ht="48" x14ac:dyDescent="0.3">
      <c r="A38" s="408"/>
      <c r="B38" s="414"/>
      <c r="C38" s="414"/>
      <c r="D38" s="8" t="s">
        <v>102</v>
      </c>
      <c r="E38" s="85"/>
      <c r="F38" s="85"/>
      <c r="G38" s="85"/>
      <c r="H38" s="85"/>
      <c r="I38" s="82"/>
      <c r="J38" s="82"/>
      <c r="K38" s="83"/>
      <c r="L38" s="83"/>
      <c r="M38" s="83"/>
      <c r="N38" s="83">
        <f t="shared" si="32"/>
        <v>0</v>
      </c>
      <c r="O38" s="130"/>
      <c r="P38" s="131">
        <f t="shared" si="8"/>
        <v>0</v>
      </c>
    </row>
    <row r="39" spans="1:17" s="135" customFormat="1" ht="19.5" thickBot="1" x14ac:dyDescent="0.35">
      <c r="A39" s="408"/>
      <c r="B39" s="414"/>
      <c r="C39" s="414"/>
      <c r="D39" s="138" t="s">
        <v>21</v>
      </c>
      <c r="E39" s="84"/>
      <c r="F39" s="84"/>
      <c r="G39" s="84"/>
      <c r="H39" s="84"/>
      <c r="I39" s="82"/>
      <c r="J39" s="82"/>
      <c r="K39" s="83"/>
      <c r="L39" s="83"/>
      <c r="M39" s="83"/>
      <c r="N39" s="83">
        <f t="shared" si="32"/>
        <v>0</v>
      </c>
      <c r="O39" s="133"/>
      <c r="P39" s="134">
        <f t="shared" si="8"/>
        <v>0</v>
      </c>
    </row>
    <row r="40" spans="1:17" s="129" customFormat="1" x14ac:dyDescent="0.3">
      <c r="A40" s="408" t="s">
        <v>86</v>
      </c>
      <c r="B40" s="414" t="s">
        <v>92</v>
      </c>
      <c r="C40" s="414" t="str">
        <f>'пр 6 к МП'!C32</f>
        <v>Безопасность дорожного движения в Туруханском районе</v>
      </c>
      <c r="D40" s="148" t="s">
        <v>37</v>
      </c>
      <c r="E40" s="78">
        <f t="shared" ref="E40:H40" si="33">SUM(E42:E46)</f>
        <v>23.4</v>
      </c>
      <c r="F40" s="78">
        <f t="shared" si="33"/>
        <v>0</v>
      </c>
      <c r="G40" s="78">
        <f t="shared" si="33"/>
        <v>463.12</v>
      </c>
      <c r="H40" s="78">
        <f t="shared" si="33"/>
        <v>152.5</v>
      </c>
      <c r="I40" s="78">
        <f>SUM(I42:I46)</f>
        <v>80</v>
      </c>
      <c r="J40" s="78">
        <f t="shared" ref="J40:K40" si="34">SUM(J42:J46)</f>
        <v>220.5</v>
      </c>
      <c r="K40" s="79">
        <f t="shared" si="34"/>
        <v>1259.2</v>
      </c>
      <c r="L40" s="79">
        <f t="shared" ref="L40:M40" si="35">SUM(L42:L46)</f>
        <v>378.6</v>
      </c>
      <c r="M40" s="79">
        <f t="shared" si="35"/>
        <v>378.6</v>
      </c>
      <c r="N40" s="79">
        <f t="shared" si="32"/>
        <v>2016.4</v>
      </c>
      <c r="O40" s="136">
        <f>N40-'пр 6 к МП'!L32</f>
        <v>0</v>
      </c>
      <c r="P40" s="128">
        <f t="shared" si="8"/>
        <v>2955.92</v>
      </c>
      <c r="Q40" s="129" t="b">
        <f>SUM(P42:P46)=P40</f>
        <v>1</v>
      </c>
    </row>
    <row r="41" spans="1:17" s="132" customFormat="1" x14ac:dyDescent="0.3">
      <c r="A41" s="408"/>
      <c r="B41" s="414"/>
      <c r="C41" s="414"/>
      <c r="D41" s="138" t="s">
        <v>20</v>
      </c>
      <c r="E41" s="84"/>
      <c r="F41" s="84"/>
      <c r="G41" s="84"/>
      <c r="H41" s="84"/>
      <c r="I41" s="82"/>
      <c r="J41" s="82"/>
      <c r="K41" s="83"/>
      <c r="L41" s="83"/>
      <c r="M41" s="83"/>
      <c r="N41" s="83"/>
      <c r="O41" s="130"/>
      <c r="P41" s="131">
        <f t="shared" si="8"/>
        <v>0</v>
      </c>
    </row>
    <row r="42" spans="1:17" s="132" customFormat="1" x14ac:dyDescent="0.3">
      <c r="A42" s="408"/>
      <c r="B42" s="414"/>
      <c r="C42" s="414"/>
      <c r="D42" s="7" t="s">
        <v>100</v>
      </c>
      <c r="E42" s="84"/>
      <c r="F42" s="84"/>
      <c r="G42" s="84"/>
      <c r="H42" s="84"/>
      <c r="I42" s="82"/>
      <c r="J42" s="82"/>
      <c r="K42" s="83"/>
      <c r="L42" s="83"/>
      <c r="M42" s="83"/>
      <c r="N42" s="83">
        <f t="shared" ref="N42:N47" si="36">SUM(K42:M42)</f>
        <v>0</v>
      </c>
      <c r="O42" s="130"/>
      <c r="P42" s="131">
        <f t="shared" si="8"/>
        <v>0</v>
      </c>
    </row>
    <row r="43" spans="1:17" s="132" customFormat="1" x14ac:dyDescent="0.3">
      <c r="A43" s="408"/>
      <c r="B43" s="414"/>
      <c r="C43" s="414"/>
      <c r="D43" s="138" t="s">
        <v>101</v>
      </c>
      <c r="E43" s="84">
        <v>23.4</v>
      </c>
      <c r="F43" s="84">
        <v>0</v>
      </c>
      <c r="G43" s="84">
        <v>142.636</v>
      </c>
      <c r="H43" s="84">
        <v>152</v>
      </c>
      <c r="I43" s="82">
        <v>80</v>
      </c>
      <c r="J43" s="82">
        <v>220.5</v>
      </c>
      <c r="K43" s="280">
        <f>'пр к ПП3'!H18+'пр к ПП3'!H22</f>
        <v>1259.2</v>
      </c>
      <c r="L43" s="280">
        <f>'пр к ПП3'!I18+'пр к ПП3'!I22</f>
        <v>378.6</v>
      </c>
      <c r="M43" s="280">
        <f>'пр к ПП3'!J18+'пр к ПП3'!J22</f>
        <v>378.6</v>
      </c>
      <c r="N43" s="280">
        <f t="shared" si="36"/>
        <v>2016.4</v>
      </c>
      <c r="O43" s="130"/>
      <c r="P43" s="131">
        <f t="shared" si="8"/>
        <v>2634.9360000000001</v>
      </c>
    </row>
    <row r="44" spans="1:17" s="132" customFormat="1" x14ac:dyDescent="0.3">
      <c r="A44" s="408"/>
      <c r="B44" s="414"/>
      <c r="C44" s="414"/>
      <c r="D44" s="138" t="s">
        <v>40</v>
      </c>
      <c r="E44" s="84">
        <v>0</v>
      </c>
      <c r="F44" s="84">
        <v>0</v>
      </c>
      <c r="G44" s="84">
        <v>320.48399999999998</v>
      </c>
      <c r="H44" s="84">
        <v>0.5</v>
      </c>
      <c r="I44" s="82">
        <v>0</v>
      </c>
      <c r="J44" s="82">
        <f>'пр к ПП3'!G16</f>
        <v>0</v>
      </c>
      <c r="K44" s="83">
        <f>'пр к ПП3'!H16</f>
        <v>0</v>
      </c>
      <c r="L44" s="83">
        <f>'пр к ПП3'!I16</f>
        <v>0</v>
      </c>
      <c r="M44" s="83">
        <f>'пр к ПП3'!J16</f>
        <v>0</v>
      </c>
      <c r="N44" s="83">
        <f t="shared" si="36"/>
        <v>0</v>
      </c>
      <c r="O44" s="130"/>
      <c r="P44" s="131">
        <f t="shared" si="8"/>
        <v>320.98399999999998</v>
      </c>
    </row>
    <row r="45" spans="1:17" s="132" customFormat="1" ht="48" x14ac:dyDescent="0.3">
      <c r="A45" s="408"/>
      <c r="B45" s="414"/>
      <c r="C45" s="414"/>
      <c r="D45" s="8" t="s">
        <v>102</v>
      </c>
      <c r="E45" s="85"/>
      <c r="F45" s="85"/>
      <c r="G45" s="85"/>
      <c r="H45" s="85"/>
      <c r="I45" s="82"/>
      <c r="J45" s="82"/>
      <c r="K45" s="83"/>
      <c r="L45" s="83"/>
      <c r="M45" s="83"/>
      <c r="N45" s="83">
        <f t="shared" si="36"/>
        <v>0</v>
      </c>
      <c r="O45" s="130"/>
      <c r="P45" s="131">
        <f t="shared" si="8"/>
        <v>0</v>
      </c>
    </row>
    <row r="46" spans="1:17" s="135" customFormat="1" ht="19.5" thickBot="1" x14ac:dyDescent="0.35">
      <c r="A46" s="408"/>
      <c r="B46" s="414"/>
      <c r="C46" s="414"/>
      <c r="D46" s="138" t="s">
        <v>21</v>
      </c>
      <c r="E46" s="84"/>
      <c r="F46" s="84"/>
      <c r="G46" s="84"/>
      <c r="H46" s="84"/>
      <c r="I46" s="82"/>
      <c r="J46" s="82"/>
      <c r="K46" s="83"/>
      <c r="L46" s="83"/>
      <c r="M46" s="83"/>
      <c r="N46" s="83">
        <f t="shared" si="36"/>
        <v>0</v>
      </c>
      <c r="O46" s="133"/>
      <c r="P46" s="134">
        <f t="shared" si="8"/>
        <v>0</v>
      </c>
    </row>
    <row r="47" spans="1:17" s="129" customFormat="1" x14ac:dyDescent="0.3">
      <c r="A47" s="408" t="s">
        <v>87</v>
      </c>
      <c r="B47" s="414" t="s">
        <v>93</v>
      </c>
      <c r="C47" s="414" t="str">
        <f>'пр 6 к МП'!C36</f>
        <v>Развитие связи на территории Туруханского района</v>
      </c>
      <c r="D47" s="297" t="s">
        <v>37</v>
      </c>
      <c r="E47" s="78">
        <f t="shared" ref="E47:H47" si="37">SUM(E49:E53)</f>
        <v>7523.8671199999999</v>
      </c>
      <c r="F47" s="78">
        <f t="shared" si="37"/>
        <v>11940</v>
      </c>
      <c r="G47" s="78">
        <f t="shared" si="37"/>
        <v>9390.4</v>
      </c>
      <c r="H47" s="78">
        <f t="shared" si="37"/>
        <v>12264.716</v>
      </c>
      <c r="I47" s="78">
        <f>SUM(I49:I53)</f>
        <v>13067.336670000001</v>
      </c>
      <c r="J47" s="78">
        <f t="shared" ref="J47:K47" si="38">SUM(J49:J53)</f>
        <v>12667.773999999999</v>
      </c>
      <c r="K47" s="79">
        <f t="shared" si="38"/>
        <v>12334.864</v>
      </c>
      <c r="L47" s="79">
        <f t="shared" ref="L47:M47" si="39">SUM(L49:L53)</f>
        <v>10600</v>
      </c>
      <c r="M47" s="79">
        <f t="shared" si="39"/>
        <v>10600</v>
      </c>
      <c r="N47" s="79">
        <f t="shared" si="36"/>
        <v>33534.864000000001</v>
      </c>
      <c r="O47" s="127">
        <f>N47-'пр 6 к МП'!L36</f>
        <v>0</v>
      </c>
      <c r="P47" s="128">
        <f t="shared" si="8"/>
        <v>100388.95779</v>
      </c>
      <c r="Q47" s="129" t="b">
        <f>SUM(P49:P53)=P47</f>
        <v>1</v>
      </c>
    </row>
    <row r="48" spans="1:17" s="132" customFormat="1" x14ac:dyDescent="0.3">
      <c r="A48" s="408"/>
      <c r="B48" s="414"/>
      <c r="C48" s="414"/>
      <c r="D48" s="293" t="s">
        <v>20</v>
      </c>
      <c r="E48" s="84"/>
      <c r="F48" s="84"/>
      <c r="G48" s="84"/>
      <c r="H48" s="84"/>
      <c r="I48" s="82"/>
      <c r="J48" s="82"/>
      <c r="K48" s="83"/>
      <c r="L48" s="83"/>
      <c r="M48" s="83"/>
      <c r="N48" s="83"/>
      <c r="O48" s="130"/>
      <c r="P48" s="131">
        <f t="shared" si="8"/>
        <v>0</v>
      </c>
    </row>
    <row r="49" spans="1:24" s="132" customFormat="1" x14ac:dyDescent="0.3">
      <c r="A49" s="408"/>
      <c r="B49" s="414"/>
      <c r="C49" s="414"/>
      <c r="D49" s="7" t="s">
        <v>100</v>
      </c>
      <c r="E49" s="84"/>
      <c r="F49" s="84"/>
      <c r="G49" s="84"/>
      <c r="H49" s="84"/>
      <c r="I49" s="82"/>
      <c r="J49" s="82"/>
      <c r="K49" s="83"/>
      <c r="L49" s="83"/>
      <c r="M49" s="83"/>
      <c r="N49" s="83">
        <f t="shared" ref="N49:N53" si="40">SUM(K49:M49)</f>
        <v>0</v>
      </c>
      <c r="O49" s="130"/>
      <c r="P49" s="131">
        <f t="shared" si="8"/>
        <v>0</v>
      </c>
    </row>
    <row r="50" spans="1:24" s="132" customFormat="1" x14ac:dyDescent="0.3">
      <c r="A50" s="408"/>
      <c r="B50" s="414"/>
      <c r="C50" s="414"/>
      <c r="D50" s="293" t="s">
        <v>101</v>
      </c>
      <c r="E50" s="84"/>
      <c r="F50" s="84"/>
      <c r="G50" s="84"/>
      <c r="H50" s="84">
        <v>2260</v>
      </c>
      <c r="I50" s="82">
        <v>3062.2</v>
      </c>
      <c r="J50" s="82">
        <f>2654.435</f>
        <v>2654.4349999999999</v>
      </c>
      <c r="K50" s="83">
        <f>'пр к ПП4'!H17</f>
        <v>1731.39428</v>
      </c>
      <c r="L50" s="83">
        <f>'пр к ПП4'!I17</f>
        <v>0</v>
      </c>
      <c r="M50" s="83">
        <f>'пр к ПП4'!J17</f>
        <v>0</v>
      </c>
      <c r="N50" s="83">
        <f t="shared" si="40"/>
        <v>1731.39428</v>
      </c>
      <c r="O50" s="130"/>
      <c r="P50" s="131">
        <f t="shared" si="8"/>
        <v>9708.0292800000007</v>
      </c>
      <c r="S50" s="132">
        <v>2667.7739999999999</v>
      </c>
      <c r="T50" s="130">
        <f>S50-J50</f>
        <v>13.338999999999942</v>
      </c>
    </row>
    <row r="51" spans="1:24" s="132" customFormat="1" x14ac:dyDescent="0.3">
      <c r="A51" s="408"/>
      <c r="B51" s="414"/>
      <c r="C51" s="414"/>
      <c r="D51" s="293" t="s">
        <v>40</v>
      </c>
      <c r="E51" s="84">
        <v>7523.8671199999999</v>
      </c>
      <c r="F51" s="84">
        <v>11940</v>
      </c>
      <c r="G51" s="84">
        <v>9390.4</v>
      </c>
      <c r="H51" s="84">
        <v>10004.716</v>
      </c>
      <c r="I51" s="82">
        <v>10005.13667</v>
      </c>
      <c r="J51" s="82">
        <f>13.339+10000</f>
        <v>10013.339</v>
      </c>
      <c r="K51" s="83">
        <f>'пр к ПП4'!H15+'пр к ПП4'!H18</f>
        <v>10603.469719999999</v>
      </c>
      <c r="L51" s="83">
        <f>'пр к ПП4'!I15+'пр к ПП4'!I18</f>
        <v>10600</v>
      </c>
      <c r="M51" s="83">
        <f>'пр к ПП4'!J15+'пр к ПП4'!J18</f>
        <v>10600</v>
      </c>
      <c r="N51" s="83">
        <f t="shared" si="40"/>
        <v>31803.469720000001</v>
      </c>
      <c r="O51" s="130"/>
      <c r="P51" s="131">
        <f t="shared" si="8"/>
        <v>90680.928509999998</v>
      </c>
      <c r="S51" s="132">
        <v>10000</v>
      </c>
      <c r="T51" s="130">
        <f>S51-J51</f>
        <v>-13.338999999999942</v>
      </c>
      <c r="W51" s="132">
        <f>12667.7738</f>
        <v>12667.773800000001</v>
      </c>
      <c r="X51" s="130">
        <f>W51-J47</f>
        <v>-1.9999999858555384E-4</v>
      </c>
    </row>
    <row r="52" spans="1:24" s="132" customFormat="1" ht="48" x14ac:dyDescent="0.3">
      <c r="A52" s="408"/>
      <c r="B52" s="414"/>
      <c r="C52" s="414"/>
      <c r="D52" s="8" t="s">
        <v>102</v>
      </c>
      <c r="E52" s="85"/>
      <c r="F52" s="85"/>
      <c r="G52" s="85"/>
      <c r="H52" s="85"/>
      <c r="I52" s="82"/>
      <c r="J52" s="82"/>
      <c r="K52" s="83"/>
      <c r="L52" s="83"/>
      <c r="M52" s="83"/>
      <c r="N52" s="83">
        <f t="shared" si="40"/>
        <v>0</v>
      </c>
      <c r="O52" s="130"/>
      <c r="P52" s="131">
        <f t="shared" si="8"/>
        <v>0</v>
      </c>
    </row>
    <row r="53" spans="1:24" s="135" customFormat="1" ht="19.5" thickBot="1" x14ac:dyDescent="0.35">
      <c r="A53" s="408"/>
      <c r="B53" s="414"/>
      <c r="C53" s="414"/>
      <c r="D53" s="293" t="s">
        <v>21</v>
      </c>
      <c r="E53" s="84"/>
      <c r="F53" s="84"/>
      <c r="G53" s="84"/>
      <c r="H53" s="84"/>
      <c r="I53" s="82"/>
      <c r="J53" s="82"/>
      <c r="K53" s="83"/>
      <c r="L53" s="83"/>
      <c r="M53" s="83"/>
      <c r="N53" s="83">
        <f t="shared" si="40"/>
        <v>0</v>
      </c>
      <c r="O53" s="133"/>
      <c r="P53" s="134">
        <f t="shared" si="8"/>
        <v>0</v>
      </c>
    </row>
    <row r="61" spans="1:24" s="1" customFormat="1" ht="15.75" outlineLevel="1" x14ac:dyDescent="0.25">
      <c r="A61" s="4"/>
      <c r="B61" s="1" t="s">
        <v>230</v>
      </c>
      <c r="E61" s="4"/>
      <c r="I61" s="38"/>
      <c r="J61" s="38"/>
    </row>
    <row r="62" spans="1:24" s="1" customFormat="1" ht="15.75" outlineLevel="1" x14ac:dyDescent="0.25">
      <c r="A62" s="4"/>
      <c r="B62" s="1" t="s">
        <v>231</v>
      </c>
      <c r="E62" s="4"/>
      <c r="I62" s="38"/>
      <c r="J62" s="38"/>
      <c r="K62" s="1" t="b">
        <f>K26='пр к ПП1'!H33</f>
        <v>1</v>
      </c>
      <c r="L62" s="1" t="b">
        <f>L26='пр к ПП1'!I33</f>
        <v>1</v>
      </c>
      <c r="M62" s="1" t="b">
        <f>M26='пр к ПП1'!J33</f>
        <v>1</v>
      </c>
      <c r="N62" s="1" t="b">
        <f>N26='пр к ПП1'!K33</f>
        <v>1</v>
      </c>
      <c r="O62" s="1" t="b">
        <f>O35='пр к ПП1'!K45</f>
        <v>1</v>
      </c>
    </row>
    <row r="63" spans="1:24" s="1" customFormat="1" ht="15.75" outlineLevel="1" x14ac:dyDescent="0.25">
      <c r="A63" s="4"/>
      <c r="B63" s="1" t="s">
        <v>232</v>
      </c>
      <c r="E63" s="4"/>
      <c r="I63" s="38"/>
      <c r="J63" s="38"/>
      <c r="K63" s="1" t="b">
        <f>K33='пр к ПП2'!H33</f>
        <v>1</v>
      </c>
      <c r="L63" s="1" t="b">
        <f>L33='пр к ПП2'!I33</f>
        <v>1</v>
      </c>
      <c r="M63" s="1" t="b">
        <f>M33='пр к ПП2'!J33</f>
        <v>1</v>
      </c>
      <c r="N63" s="1" t="b">
        <f>N33='пр к ПП2'!K33</f>
        <v>1</v>
      </c>
      <c r="O63" s="1" t="b">
        <f>O39='пр к ПП2'!K45</f>
        <v>1</v>
      </c>
    </row>
    <row r="64" spans="1:24" s="1" customFormat="1" ht="15.75" outlineLevel="1" x14ac:dyDescent="0.25">
      <c r="A64" s="4"/>
      <c r="B64" s="1" t="s">
        <v>233</v>
      </c>
      <c r="E64" s="4"/>
      <c r="I64" s="38"/>
      <c r="J64" s="38"/>
      <c r="K64" s="1" t="b">
        <f>K40='пр к ПП3'!H24</f>
        <v>1</v>
      </c>
      <c r="L64" s="1" t="b">
        <f>L40='пр к ПП3'!I24</f>
        <v>1</v>
      </c>
      <c r="M64" s="1" t="b">
        <f>M40='пр к ПП3'!J24</f>
        <v>1</v>
      </c>
      <c r="N64" s="1" t="b">
        <f>N40='пр к ПП3'!K24</f>
        <v>1</v>
      </c>
      <c r="O64" s="1" t="b">
        <f>O43='пр к ПП3'!K36</f>
        <v>1</v>
      </c>
    </row>
    <row r="65" spans="1:15" s="1" customFormat="1" ht="15.75" outlineLevel="1" x14ac:dyDescent="0.25">
      <c r="A65" s="4"/>
      <c r="B65" s="1" t="s">
        <v>234</v>
      </c>
      <c r="E65" s="4"/>
      <c r="I65" s="38"/>
      <c r="J65" s="38"/>
      <c r="K65" s="1" t="b">
        <f>K47='пр к ПП4'!H20</f>
        <v>1</v>
      </c>
      <c r="L65" s="1" t="b">
        <f>L47='пр к ПП4'!I20</f>
        <v>1</v>
      </c>
      <c r="M65" s="1" t="b">
        <f>M47='пр к ПП4'!J20</f>
        <v>1</v>
      </c>
      <c r="N65" s="1" t="b">
        <f>N47='пр к ПП4'!K20</f>
        <v>1</v>
      </c>
      <c r="O65" s="1" t="b">
        <f>O47='пр к ПП4'!L20</f>
        <v>0</v>
      </c>
    </row>
    <row r="66" spans="1:15" s="1" customFormat="1" ht="15.75" outlineLevel="1" x14ac:dyDescent="0.25">
      <c r="A66" s="4"/>
      <c r="E66" s="4"/>
      <c r="I66" s="38"/>
      <c r="J66" s="38"/>
    </row>
    <row r="67" spans="1:15" s="1" customFormat="1" ht="15.75" outlineLevel="1" x14ac:dyDescent="0.25">
      <c r="A67" s="4"/>
      <c r="E67" s="4"/>
      <c r="I67" s="38"/>
      <c r="J67" s="38"/>
    </row>
    <row r="68" spans="1:15" s="1" customFormat="1" ht="15.75" outlineLevel="1" x14ac:dyDescent="0.25">
      <c r="A68" s="4"/>
      <c r="B68" s="1" t="s">
        <v>231</v>
      </c>
      <c r="E68" s="4"/>
      <c r="I68" s="204">
        <f>I26-'пр к ПП1'!H33</f>
        <v>-14115.422839999985</v>
      </c>
      <c r="J68" s="204"/>
      <c r="K68" s="123">
        <f>K26-'пр к ПП1'!H33</f>
        <v>0</v>
      </c>
      <c r="L68" s="123">
        <f>L26-'пр к ПП1'!I33</f>
        <v>0</v>
      </c>
      <c r="M68" s="123">
        <f>M26-'пр к ПП1'!J33</f>
        <v>0</v>
      </c>
      <c r="N68" s="123">
        <f>N26-'пр к ПП1'!K33</f>
        <v>0</v>
      </c>
      <c r="O68" s="123">
        <f>O35-'пр к ПП1'!K45</f>
        <v>0</v>
      </c>
    </row>
    <row r="69" spans="1:15" s="1" customFormat="1" ht="15.75" outlineLevel="1" x14ac:dyDescent="0.25">
      <c r="A69" s="4"/>
      <c r="B69" s="1" t="s">
        <v>232</v>
      </c>
      <c r="E69" s="4"/>
      <c r="I69" s="204">
        <f>I33-'пр к ПП2'!H33</f>
        <v>-57067.874290000007</v>
      </c>
      <c r="J69" s="204"/>
      <c r="K69" s="123">
        <f>K33-'пр к ПП2'!H33</f>
        <v>0</v>
      </c>
      <c r="L69" s="123">
        <f>L33-'пр к ПП2'!I33</f>
        <v>0</v>
      </c>
      <c r="M69" s="123">
        <f>M33-'пр к ПП2'!J33</f>
        <v>0</v>
      </c>
      <c r="N69" s="123">
        <f>N33-'пр к ПП2'!K33</f>
        <v>0</v>
      </c>
      <c r="O69" s="123">
        <f>O39-'пр к ПП2'!K45</f>
        <v>0</v>
      </c>
    </row>
    <row r="70" spans="1:15" s="1" customFormat="1" ht="15.75" outlineLevel="1" x14ac:dyDescent="0.25">
      <c r="A70" s="4"/>
      <c r="B70" s="1" t="s">
        <v>233</v>
      </c>
      <c r="E70" s="4"/>
      <c r="I70" s="204">
        <f>I40-'пр к ПП3'!H24</f>
        <v>-1179.2</v>
      </c>
      <c r="J70" s="204"/>
      <c r="K70" s="123">
        <f>K40-'пр к ПП3'!H24</f>
        <v>0</v>
      </c>
      <c r="L70" s="123">
        <f>L40-'пр к ПП3'!I24</f>
        <v>0</v>
      </c>
      <c r="M70" s="123">
        <f>M40-'пр к ПП3'!J24</f>
        <v>0</v>
      </c>
      <c r="N70" s="123">
        <f>N40-'пр к ПП3'!K24</f>
        <v>0</v>
      </c>
      <c r="O70" s="123">
        <f>O43-'пр к ПП3'!K36</f>
        <v>0</v>
      </c>
    </row>
    <row r="71" spans="1:15" s="1" customFormat="1" ht="15.75" outlineLevel="1" x14ac:dyDescent="0.25">
      <c r="A71" s="4"/>
      <c r="B71" s="1" t="s">
        <v>234</v>
      </c>
      <c r="E71" s="4"/>
      <c r="I71" s="204">
        <f>I47-'пр к ПП4'!H20</f>
        <v>732.47267000000102</v>
      </c>
      <c r="J71" s="204"/>
      <c r="K71" s="123">
        <f>K47-'пр к ПП4'!H20</f>
        <v>0</v>
      </c>
      <c r="L71" s="123">
        <f>L47-'пр к ПП4'!I20</f>
        <v>0</v>
      </c>
      <c r="M71" s="123">
        <f>M47-'пр к ПП4'!J20</f>
        <v>0</v>
      </c>
      <c r="N71" s="123">
        <f>N47-'пр к ПП4'!K20</f>
        <v>0</v>
      </c>
      <c r="O71" s="123">
        <f>O47-'пр к ПП4'!K32</f>
        <v>0</v>
      </c>
    </row>
    <row r="72" spans="1:15" outlineLevel="1" x14ac:dyDescent="0.3"/>
    <row r="73" spans="1:15" outlineLevel="1" x14ac:dyDescent="0.3"/>
  </sheetData>
  <mergeCells count="28">
    <mergeCell ref="K1:N1"/>
    <mergeCell ref="A12:N12"/>
    <mergeCell ref="K5:N5"/>
    <mergeCell ref="A8:N8"/>
    <mergeCell ref="A9:N9"/>
    <mergeCell ref="A10:N10"/>
    <mergeCell ref="A11:N11"/>
    <mergeCell ref="A16:A17"/>
    <mergeCell ref="B16:B17"/>
    <mergeCell ref="C16:C17"/>
    <mergeCell ref="D16:D17"/>
    <mergeCell ref="A13:N13"/>
    <mergeCell ref="A40:A46"/>
    <mergeCell ref="B40:B46"/>
    <mergeCell ref="C40:C46"/>
    <mergeCell ref="A47:A53"/>
    <mergeCell ref="N16:N17"/>
    <mergeCell ref="A19:A25"/>
    <mergeCell ref="B19:B25"/>
    <mergeCell ref="C19:C25"/>
    <mergeCell ref="A33:A39"/>
    <mergeCell ref="B33:B39"/>
    <mergeCell ref="C33:C39"/>
    <mergeCell ref="B47:B53"/>
    <mergeCell ref="C47:C53"/>
    <mergeCell ref="A26:A32"/>
    <mergeCell ref="B26:B32"/>
    <mergeCell ref="C26:C32"/>
  </mergeCells>
  <pageMargins left="0.78740157480314965" right="0.78740157480314965" top="1.1811023622047245" bottom="0.2" header="0.31496062992125984" footer="0.31496062992125984"/>
  <pageSetup paperSize="9" scale="51" fitToHeight="0" orientation="landscape" r:id="rId1"/>
  <rowBreaks count="2" manualBreakCount="2">
    <brk id="25" max="16" man="1"/>
    <brk id="46" max="16" man="1"/>
  </rowBreaks>
  <colBreaks count="2" manualBreakCount="2">
    <brk id="10" max="1048575" man="1"/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showZeros="0" topLeftCell="B19" zoomScale="85" zoomScaleNormal="85" workbookViewId="0">
      <selection activeCell="A22" sqref="A22"/>
    </sheetView>
  </sheetViews>
  <sheetFormatPr defaultRowHeight="15.75" x14ac:dyDescent="0.25"/>
  <cols>
    <col min="2" max="2" width="5" style="6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20"/>
      <c r="B1" s="415" t="s">
        <v>19</v>
      </c>
      <c r="C1" s="415" t="s">
        <v>176</v>
      </c>
      <c r="D1" s="415" t="s">
        <v>177</v>
      </c>
      <c r="E1" s="415" t="s">
        <v>178</v>
      </c>
      <c r="F1" s="415" t="s">
        <v>179</v>
      </c>
      <c r="G1" s="415"/>
      <c r="H1" s="415"/>
      <c r="I1" s="415"/>
      <c r="J1" s="415"/>
      <c r="K1" s="416"/>
      <c r="M1" s="415" t="s">
        <v>179</v>
      </c>
      <c r="N1" s="415"/>
      <c r="O1" s="415"/>
      <c r="P1" s="415"/>
    </row>
    <row r="2" spans="1:16" x14ac:dyDescent="0.25">
      <c r="A2" s="420"/>
      <c r="B2" s="415"/>
      <c r="C2" s="415"/>
      <c r="D2" s="415"/>
      <c r="E2" s="415"/>
      <c r="F2" s="415" t="s">
        <v>180</v>
      </c>
      <c r="G2" s="415"/>
      <c r="H2" s="415"/>
      <c r="I2" s="415"/>
      <c r="J2" s="415" t="s">
        <v>181</v>
      </c>
      <c r="K2" s="416"/>
      <c r="M2" s="415" t="s">
        <v>180</v>
      </c>
      <c r="N2" s="415"/>
      <c r="O2" s="415"/>
      <c r="P2" s="415"/>
    </row>
    <row r="3" spans="1:16" x14ac:dyDescent="0.25">
      <c r="A3" s="420"/>
      <c r="B3" s="415"/>
      <c r="C3" s="415"/>
      <c r="D3" s="415"/>
      <c r="E3" s="415"/>
      <c r="F3" s="415" t="s">
        <v>182</v>
      </c>
      <c r="G3" s="415"/>
      <c r="H3" s="415"/>
      <c r="I3" s="415" t="s">
        <v>183</v>
      </c>
      <c r="J3" s="415"/>
      <c r="K3" s="416"/>
      <c r="M3" s="415" t="s">
        <v>182</v>
      </c>
      <c r="N3" s="415"/>
      <c r="O3" s="415"/>
      <c r="P3" s="415" t="s">
        <v>183</v>
      </c>
    </row>
    <row r="4" spans="1:16" x14ac:dyDescent="0.25">
      <c r="A4" s="420"/>
      <c r="B4" s="415"/>
      <c r="C4" s="415"/>
      <c r="D4" s="415"/>
      <c r="E4" s="415"/>
      <c r="F4" s="217" t="str">
        <f>LEFT('пр 6 к МП'!I14,4)</f>
        <v>2020</v>
      </c>
      <c r="G4" s="217" t="str">
        <f>LEFT('пр 6 к МП'!J14,4)</f>
        <v>2021</v>
      </c>
      <c r="H4" s="217" t="str">
        <f>LEFT('пр 6 к МП'!K14,4)</f>
        <v>2022</v>
      </c>
      <c r="I4" s="415"/>
      <c r="J4" s="415"/>
      <c r="K4" s="416"/>
      <c r="M4" s="224" t="str">
        <f>F4</f>
        <v>2020</v>
      </c>
      <c r="N4" s="224" t="str">
        <f t="shared" ref="N4:O4" si="0">G4</f>
        <v>2021</v>
      </c>
      <c r="O4" s="224" t="str">
        <f t="shared" si="0"/>
        <v>2022</v>
      </c>
      <c r="P4" s="415"/>
    </row>
    <row r="5" spans="1:16" ht="15.75" customHeight="1" x14ac:dyDescent="0.25">
      <c r="A5" s="420"/>
      <c r="B5" s="421">
        <v>1</v>
      </c>
      <c r="C5" s="422" t="str">
        <f>'пр к ПП1'!B15</f>
        <v>Расходы на содержание автомобильных дорог общего пользования местного значения за счет средств дорожного фонда Красноярского края</v>
      </c>
      <c r="D5" s="62" t="s">
        <v>192</v>
      </c>
      <c r="E5" s="415" t="s">
        <v>185</v>
      </c>
      <c r="F5" s="65">
        <f>SUM(F6:F12)</f>
        <v>26.370200000000004</v>
      </c>
      <c r="G5" s="65">
        <f t="shared" ref="G5:H5" si="1">SUM(G6:G12)</f>
        <v>27.398600000000002</v>
      </c>
      <c r="H5" s="65">
        <f t="shared" si="1"/>
        <v>28.467099999999999</v>
      </c>
      <c r="I5" s="65">
        <f t="shared" ref="I5:I20" si="2">SUM(F5:H5)</f>
        <v>82.235900000000001</v>
      </c>
      <c r="J5" s="415" t="s">
        <v>193</v>
      </c>
      <c r="K5" s="416"/>
      <c r="M5" s="162">
        <f>SUM(M6:M12)</f>
        <v>26370.2</v>
      </c>
      <c r="N5" s="162">
        <f t="shared" ref="N5:O5" si="3">SUM(N6:N12)</f>
        <v>27398.6</v>
      </c>
      <c r="O5" s="162">
        <f t="shared" si="3"/>
        <v>28467.1</v>
      </c>
      <c r="P5" s="161">
        <f t="shared" ref="P5" si="4">SUM(M5:O5)</f>
        <v>82235.899999999994</v>
      </c>
    </row>
    <row r="6" spans="1:16" ht="25.5" x14ac:dyDescent="0.25">
      <c r="A6" s="420"/>
      <c r="B6" s="421"/>
      <c r="C6" s="422"/>
      <c r="D6" s="56" t="s">
        <v>190</v>
      </c>
      <c r="E6" s="415"/>
      <c r="F6" s="74">
        <f>M6/1000</f>
        <v>3.9563999999999999</v>
      </c>
      <c r="G6" s="74">
        <f t="shared" ref="G6:H12" si="5">N6/1000</f>
        <v>4.1100000000000003</v>
      </c>
      <c r="H6" s="74">
        <f t="shared" si="5"/>
        <v>4.2709999999999999</v>
      </c>
      <c r="I6" s="65">
        <f t="shared" si="2"/>
        <v>12.337399999999999</v>
      </c>
      <c r="J6" s="415"/>
      <c r="K6" s="416"/>
      <c r="M6" s="142">
        <f>F35</f>
        <v>3956.4</v>
      </c>
      <c r="N6" s="142">
        <f t="shared" ref="N6:O12" si="6">G35</f>
        <v>4110</v>
      </c>
      <c r="O6" s="142">
        <f t="shared" si="6"/>
        <v>4271</v>
      </c>
      <c r="P6" s="161"/>
    </row>
    <row r="7" spans="1:16" ht="25.5" x14ac:dyDescent="0.25">
      <c r="A7" s="420"/>
      <c r="B7" s="421"/>
      <c r="C7" s="422"/>
      <c r="D7" s="56" t="s">
        <v>199</v>
      </c>
      <c r="E7" s="415"/>
      <c r="F7" s="74">
        <f t="shared" ref="F7:F12" si="7">M7/1000</f>
        <v>0.87920000000000009</v>
      </c>
      <c r="G7" s="74">
        <f t="shared" si="5"/>
        <v>0.91400000000000003</v>
      </c>
      <c r="H7" s="74">
        <f t="shared" si="5"/>
        <v>0.95</v>
      </c>
      <c r="I7" s="65">
        <f t="shared" si="2"/>
        <v>2.7431999999999999</v>
      </c>
      <c r="J7" s="415"/>
      <c r="K7" s="416"/>
      <c r="M7" s="142">
        <f t="shared" ref="M7:M12" si="8">F36</f>
        <v>879.2</v>
      </c>
      <c r="N7" s="142">
        <f t="shared" si="6"/>
        <v>914</v>
      </c>
      <c r="O7" s="142">
        <f t="shared" si="6"/>
        <v>950</v>
      </c>
      <c r="P7" s="161">
        <f t="shared" ref="P7:P20" si="9">SUM(M7:O7)</f>
        <v>2743.2</v>
      </c>
    </row>
    <row r="8" spans="1:16" ht="25.5" x14ac:dyDescent="0.25">
      <c r="A8" s="420"/>
      <c r="B8" s="421"/>
      <c r="C8" s="422"/>
      <c r="D8" s="56" t="s">
        <v>191</v>
      </c>
      <c r="E8" s="415"/>
      <c r="F8" s="74">
        <f t="shared" si="7"/>
        <v>2.8134000000000001</v>
      </c>
      <c r="G8" s="74">
        <f t="shared" si="5"/>
        <v>2.9220000000000002</v>
      </c>
      <c r="H8" s="74">
        <f t="shared" si="5"/>
        <v>3.036</v>
      </c>
      <c r="I8" s="65">
        <f t="shared" si="2"/>
        <v>8.7713999999999999</v>
      </c>
      <c r="J8" s="415"/>
      <c r="K8" s="416"/>
      <c r="M8" s="142">
        <f t="shared" si="8"/>
        <v>2813.4</v>
      </c>
      <c r="N8" s="142">
        <f t="shared" si="6"/>
        <v>2922</v>
      </c>
      <c r="O8" s="142">
        <f t="shared" si="6"/>
        <v>3036</v>
      </c>
      <c r="P8" s="161">
        <f t="shared" si="9"/>
        <v>8771.4</v>
      </c>
    </row>
    <row r="9" spans="1:16" ht="25.5" x14ac:dyDescent="0.25">
      <c r="A9" s="420"/>
      <c r="B9" s="421"/>
      <c r="C9" s="422"/>
      <c r="D9" s="56" t="s">
        <v>200</v>
      </c>
      <c r="E9" s="415"/>
      <c r="F9" s="74">
        <f t="shared" si="7"/>
        <v>0.87920000000000009</v>
      </c>
      <c r="G9" s="74">
        <f t="shared" si="5"/>
        <v>0.91400000000000003</v>
      </c>
      <c r="H9" s="74">
        <f t="shared" si="5"/>
        <v>0.95</v>
      </c>
      <c r="I9" s="65">
        <f t="shared" si="2"/>
        <v>2.7431999999999999</v>
      </c>
      <c r="J9" s="415"/>
      <c r="K9" s="416"/>
      <c r="M9" s="142">
        <f t="shared" si="8"/>
        <v>879.2</v>
      </c>
      <c r="N9" s="142">
        <f t="shared" si="6"/>
        <v>914</v>
      </c>
      <c r="O9" s="142">
        <f t="shared" si="6"/>
        <v>950</v>
      </c>
      <c r="P9" s="161">
        <f t="shared" si="9"/>
        <v>2743.2</v>
      </c>
    </row>
    <row r="10" spans="1:16" ht="25.5" customHeight="1" x14ac:dyDescent="0.25">
      <c r="A10" s="420"/>
      <c r="B10" s="421"/>
      <c r="C10" s="422"/>
      <c r="D10" s="169" t="s">
        <v>189</v>
      </c>
      <c r="E10" s="415"/>
      <c r="F10" s="74">
        <f t="shared" si="7"/>
        <v>8.0007999999999999</v>
      </c>
      <c r="G10" s="74">
        <f t="shared" si="5"/>
        <v>8.3125999999999998</v>
      </c>
      <c r="H10" s="74">
        <f t="shared" si="5"/>
        <v>8.6370000000000005</v>
      </c>
      <c r="I10" s="65">
        <f t="shared" si="2"/>
        <v>24.950400000000002</v>
      </c>
      <c r="J10" s="415"/>
      <c r="K10" s="416"/>
      <c r="M10" s="142">
        <f t="shared" si="8"/>
        <v>8000.8</v>
      </c>
      <c r="N10" s="142">
        <f t="shared" si="6"/>
        <v>8312.6</v>
      </c>
      <c r="O10" s="142">
        <f t="shared" si="6"/>
        <v>8637</v>
      </c>
      <c r="P10" s="161">
        <f t="shared" si="9"/>
        <v>24950.400000000001</v>
      </c>
    </row>
    <row r="11" spans="1:16" ht="25.5" x14ac:dyDescent="0.25">
      <c r="A11" s="420"/>
      <c r="B11" s="421"/>
      <c r="C11" s="422"/>
      <c r="D11" s="56" t="s">
        <v>188</v>
      </c>
      <c r="E11" s="415"/>
      <c r="F11" s="74">
        <f t="shared" si="7"/>
        <v>1.1434000000000002</v>
      </c>
      <c r="G11" s="74">
        <f t="shared" si="5"/>
        <v>1.19</v>
      </c>
      <c r="H11" s="74">
        <f t="shared" si="5"/>
        <v>1.2350000000000001</v>
      </c>
      <c r="I11" s="65">
        <f t="shared" si="2"/>
        <v>3.5684000000000005</v>
      </c>
      <c r="J11" s="415"/>
      <c r="K11" s="416"/>
      <c r="M11" s="142">
        <f t="shared" si="8"/>
        <v>1143.4000000000001</v>
      </c>
      <c r="N11" s="142">
        <f t="shared" si="6"/>
        <v>1190</v>
      </c>
      <c r="O11" s="142">
        <f t="shared" si="6"/>
        <v>1235</v>
      </c>
      <c r="P11" s="161">
        <f t="shared" si="9"/>
        <v>3568.4</v>
      </c>
    </row>
    <row r="12" spans="1:16" x14ac:dyDescent="0.25">
      <c r="A12" s="420"/>
      <c r="B12" s="421"/>
      <c r="C12" s="422"/>
      <c r="D12" s="56" t="s">
        <v>198</v>
      </c>
      <c r="E12" s="415"/>
      <c r="F12" s="74">
        <f t="shared" si="7"/>
        <v>8.6977999999999991</v>
      </c>
      <c r="G12" s="74">
        <f t="shared" si="5"/>
        <v>9.0359999999999996</v>
      </c>
      <c r="H12" s="74">
        <f t="shared" si="5"/>
        <v>9.3880999999999979</v>
      </c>
      <c r="I12" s="65">
        <f t="shared" si="2"/>
        <v>27.121899999999997</v>
      </c>
      <c r="J12" s="415"/>
      <c r="K12" s="416"/>
      <c r="M12" s="142">
        <f t="shared" si="8"/>
        <v>8697.7999999999993</v>
      </c>
      <c r="N12" s="142">
        <f t="shared" si="6"/>
        <v>9036</v>
      </c>
      <c r="O12" s="142">
        <f t="shared" si="6"/>
        <v>9388.0999999999985</v>
      </c>
      <c r="P12" s="161">
        <f t="shared" si="9"/>
        <v>27121.899999999998</v>
      </c>
    </row>
    <row r="13" spans="1:16" ht="15.75" customHeight="1" x14ac:dyDescent="0.25">
      <c r="A13" s="420"/>
      <c r="B13" s="421">
        <v>2</v>
      </c>
      <c r="C13" s="422" t="str">
        <f>'пр к ПП1'!B17</f>
        <v>Расходы на капитальный ремонт и ремонт автомобильных дорог общего пользования местного значения за счет средств дорожного фонда Красноярского края</v>
      </c>
      <c r="D13" s="62" t="s">
        <v>192</v>
      </c>
      <c r="E13" s="415" t="s">
        <v>185</v>
      </c>
      <c r="F13" s="74">
        <f>SUM(F14:F20)</f>
        <v>11.636100000000001</v>
      </c>
      <c r="G13" s="74">
        <f t="shared" ref="G13:H13" si="10">SUM(G14:G20)</f>
        <v>13.9947</v>
      </c>
      <c r="H13" s="74">
        <f t="shared" si="10"/>
        <v>13.9947</v>
      </c>
      <c r="I13" s="65">
        <f t="shared" si="2"/>
        <v>39.625500000000002</v>
      </c>
      <c r="J13" s="417" t="s">
        <v>193</v>
      </c>
      <c r="K13" s="416"/>
      <c r="M13" s="163">
        <f>SUM(M14:M20)</f>
        <v>11636.1</v>
      </c>
      <c r="N13" s="163">
        <f t="shared" ref="N13:O13" si="11">SUM(N14:N20)</f>
        <v>13994.7</v>
      </c>
      <c r="O13" s="163">
        <f t="shared" si="11"/>
        <v>13994.7</v>
      </c>
      <c r="P13" s="161">
        <f t="shared" si="9"/>
        <v>39625.5</v>
      </c>
    </row>
    <row r="14" spans="1:16" ht="25.5" x14ac:dyDescent="0.25">
      <c r="A14" s="420"/>
      <c r="B14" s="421"/>
      <c r="C14" s="422"/>
      <c r="D14" s="56" t="s">
        <v>190</v>
      </c>
      <c r="E14" s="415"/>
      <c r="F14" s="74">
        <f t="shared" ref="F14:F20" si="12">M14/1000</f>
        <v>1.3959999999999999</v>
      </c>
      <c r="G14" s="74">
        <f t="shared" ref="G14:G20" si="13">N14/1000</f>
        <v>1.747684</v>
      </c>
      <c r="H14" s="74">
        <f t="shared" ref="H14:H20" si="14">O14/1000</f>
        <v>1.747684</v>
      </c>
      <c r="I14" s="65">
        <f t="shared" si="2"/>
        <v>4.8913679999999999</v>
      </c>
      <c r="J14" s="418"/>
      <c r="K14" s="416"/>
      <c r="M14" s="142">
        <f>F46</f>
        <v>1396</v>
      </c>
      <c r="N14" s="142">
        <f t="shared" ref="N14:O20" si="15">G46</f>
        <v>1747.684</v>
      </c>
      <c r="O14" s="142">
        <f t="shared" si="15"/>
        <v>1747.684</v>
      </c>
      <c r="P14" s="161">
        <f t="shared" si="9"/>
        <v>4891.3680000000004</v>
      </c>
    </row>
    <row r="15" spans="1:16" ht="25.5" x14ac:dyDescent="0.25">
      <c r="A15" s="420"/>
      <c r="B15" s="421"/>
      <c r="C15" s="422"/>
      <c r="D15" s="56" t="s">
        <v>199</v>
      </c>
      <c r="E15" s="415"/>
      <c r="F15" s="74">
        <f t="shared" si="12"/>
        <v>0.69799999999999995</v>
      </c>
      <c r="G15" s="74">
        <f t="shared" si="13"/>
        <v>0.87384400000000007</v>
      </c>
      <c r="H15" s="74">
        <f t="shared" si="14"/>
        <v>0.87384400000000007</v>
      </c>
      <c r="I15" s="65">
        <f t="shared" si="2"/>
        <v>2.4456880000000001</v>
      </c>
      <c r="J15" s="418"/>
      <c r="K15" s="416"/>
      <c r="M15" s="142">
        <f t="shared" ref="M15:M20" si="16">F47</f>
        <v>698</v>
      </c>
      <c r="N15" s="142">
        <f t="shared" si="15"/>
        <v>873.84400000000005</v>
      </c>
      <c r="O15" s="142">
        <f t="shared" si="15"/>
        <v>873.84400000000005</v>
      </c>
      <c r="P15" s="161">
        <f t="shared" si="9"/>
        <v>2445.6880000000001</v>
      </c>
    </row>
    <row r="16" spans="1:16" ht="25.5" x14ac:dyDescent="0.25">
      <c r="A16" s="420"/>
      <c r="B16" s="421"/>
      <c r="C16" s="422"/>
      <c r="D16" s="56" t="s">
        <v>191</v>
      </c>
      <c r="E16" s="415"/>
      <c r="F16" s="74">
        <f t="shared" si="12"/>
        <v>0.69799999999999995</v>
      </c>
      <c r="G16" s="74">
        <f t="shared" si="13"/>
        <v>0.87384400000000007</v>
      </c>
      <c r="H16" s="74">
        <f t="shared" si="14"/>
        <v>0.87384400000000007</v>
      </c>
      <c r="I16" s="65">
        <f t="shared" si="2"/>
        <v>2.4456880000000001</v>
      </c>
      <c r="J16" s="418"/>
      <c r="K16" s="416"/>
      <c r="M16" s="142">
        <f t="shared" si="16"/>
        <v>698</v>
      </c>
      <c r="N16" s="142">
        <f t="shared" si="15"/>
        <v>873.84400000000005</v>
      </c>
      <c r="O16" s="142">
        <f t="shared" si="15"/>
        <v>873.84400000000005</v>
      </c>
      <c r="P16" s="161">
        <f t="shared" si="9"/>
        <v>2445.6880000000001</v>
      </c>
    </row>
    <row r="17" spans="1:18" ht="25.5" x14ac:dyDescent="0.25">
      <c r="A17" s="420"/>
      <c r="B17" s="421"/>
      <c r="C17" s="422"/>
      <c r="D17" s="56" t="s">
        <v>200</v>
      </c>
      <c r="E17" s="415"/>
      <c r="F17" s="74">
        <f t="shared" si="12"/>
        <v>0.69799999999999995</v>
      </c>
      <c r="G17" s="74">
        <f t="shared" si="13"/>
        <v>0.87384400000000007</v>
      </c>
      <c r="H17" s="74">
        <f t="shared" si="14"/>
        <v>0.87384400000000007</v>
      </c>
      <c r="I17" s="65">
        <f t="shared" si="2"/>
        <v>2.4456880000000001</v>
      </c>
      <c r="J17" s="418"/>
      <c r="K17" s="416"/>
      <c r="M17" s="142">
        <f t="shared" si="16"/>
        <v>698</v>
      </c>
      <c r="N17" s="142">
        <f t="shared" si="15"/>
        <v>873.84400000000005</v>
      </c>
      <c r="O17" s="142">
        <f t="shared" si="15"/>
        <v>873.84400000000005</v>
      </c>
      <c r="P17" s="161">
        <f t="shared" si="9"/>
        <v>2445.6880000000001</v>
      </c>
    </row>
    <row r="18" spans="1:18" ht="25.5" customHeight="1" x14ac:dyDescent="0.25">
      <c r="A18" s="420"/>
      <c r="B18" s="421"/>
      <c r="C18" s="422"/>
      <c r="D18" s="225" t="s">
        <v>189</v>
      </c>
      <c r="E18" s="415"/>
      <c r="F18" s="74">
        <f t="shared" si="12"/>
        <v>5.1211000000000002</v>
      </c>
      <c r="G18" s="74">
        <f t="shared" si="13"/>
        <v>6.0293370000000008</v>
      </c>
      <c r="H18" s="74">
        <f t="shared" si="14"/>
        <v>6.0293370000000008</v>
      </c>
      <c r="I18" s="65">
        <f t="shared" si="2"/>
        <v>17.179774000000002</v>
      </c>
      <c r="J18" s="418"/>
      <c r="K18" s="416"/>
      <c r="M18" s="142">
        <f t="shared" si="16"/>
        <v>5121.1000000000004</v>
      </c>
      <c r="N18" s="142">
        <f t="shared" si="15"/>
        <v>6029.3370000000004</v>
      </c>
      <c r="O18" s="142">
        <f t="shared" si="15"/>
        <v>6029.3370000000004</v>
      </c>
      <c r="P18" s="161">
        <f t="shared" si="9"/>
        <v>17179.774000000001</v>
      </c>
    </row>
    <row r="19" spans="1:18" ht="25.5" x14ac:dyDescent="0.25">
      <c r="A19" s="420"/>
      <c r="B19" s="421"/>
      <c r="C19" s="422"/>
      <c r="D19" s="56" t="s">
        <v>188</v>
      </c>
      <c r="E19" s="415"/>
      <c r="F19" s="74">
        <f t="shared" si="12"/>
        <v>0</v>
      </c>
      <c r="G19" s="74">
        <f t="shared" si="13"/>
        <v>0</v>
      </c>
      <c r="H19" s="74">
        <f t="shared" si="14"/>
        <v>0</v>
      </c>
      <c r="I19" s="65">
        <f t="shared" si="2"/>
        <v>0</v>
      </c>
      <c r="J19" s="418"/>
      <c r="K19" s="416"/>
      <c r="M19" s="142">
        <f t="shared" si="16"/>
        <v>0</v>
      </c>
      <c r="N19" s="142">
        <f t="shared" si="15"/>
        <v>0</v>
      </c>
      <c r="O19" s="142">
        <f t="shared" si="15"/>
        <v>0</v>
      </c>
      <c r="P19" s="161">
        <f t="shared" si="9"/>
        <v>0</v>
      </c>
    </row>
    <row r="20" spans="1:18" ht="25.5" customHeight="1" x14ac:dyDescent="0.25">
      <c r="A20" s="420"/>
      <c r="B20" s="421"/>
      <c r="C20" s="422"/>
      <c r="D20" s="56" t="s">
        <v>198</v>
      </c>
      <c r="E20" s="415"/>
      <c r="F20" s="74">
        <f t="shared" si="12"/>
        <v>3.0249999999999999</v>
      </c>
      <c r="G20" s="74">
        <f t="shared" si="13"/>
        <v>3.5961469999999998</v>
      </c>
      <c r="H20" s="74">
        <f t="shared" si="14"/>
        <v>3.5961469999999998</v>
      </c>
      <c r="I20" s="65">
        <f t="shared" si="2"/>
        <v>10.217293999999999</v>
      </c>
      <c r="J20" s="419"/>
      <c r="K20" s="416"/>
      <c r="M20" s="142">
        <f t="shared" si="16"/>
        <v>3025</v>
      </c>
      <c r="N20" s="142">
        <f t="shared" si="15"/>
        <v>3596.1469999999999</v>
      </c>
      <c r="O20" s="142">
        <f t="shared" si="15"/>
        <v>3596.1469999999999</v>
      </c>
      <c r="P20" s="161">
        <f t="shared" si="9"/>
        <v>10217.294</v>
      </c>
    </row>
    <row r="21" spans="1:18" ht="93" customHeight="1" x14ac:dyDescent="0.25">
      <c r="A21" s="420"/>
      <c r="B21" s="167">
        <v>3</v>
      </c>
      <c r="C21" s="98" t="str">
        <f>'пр к ПП1'!B19</f>
        <v>Расходы на содержание дороги Туруханск - Селиваниха и дорог межселенной территории (дорожный фонд)</v>
      </c>
      <c r="D21" s="62" t="s">
        <v>194</v>
      </c>
      <c r="E21" s="90" t="s">
        <v>185</v>
      </c>
      <c r="F21" s="66">
        <f>('пр к ПП1'!H20+'пр к ПП1'!H19)/1000</f>
        <v>4.2153559999999999</v>
      </c>
      <c r="G21" s="66">
        <f>('пр к ПП1'!I20+'пр к ПП1'!I19)/1000</f>
        <v>5.65083</v>
      </c>
      <c r="H21" s="66">
        <f>('пр к ПП1'!J20+'пр к ПП1'!J19)/1000</f>
        <v>5.65083</v>
      </c>
      <c r="I21" s="65">
        <f>SUM(F21:H21)</f>
        <v>15.517015999999998</v>
      </c>
      <c r="J21" s="166" t="s">
        <v>186</v>
      </c>
      <c r="K21" s="416"/>
    </row>
    <row r="22" spans="1:18" ht="109.5" customHeight="1" x14ac:dyDescent="0.25">
      <c r="A22" s="420"/>
      <c r="B22" s="167">
        <v>4</v>
      </c>
      <c r="C22" s="98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62" t="s">
        <v>195</v>
      </c>
      <c r="E22" s="90" t="s">
        <v>196</v>
      </c>
      <c r="F22" s="65">
        <f>'пр к ПП1'!H22/1000</f>
        <v>2.2387550000000003</v>
      </c>
      <c r="G22" s="65">
        <f>'пр к ПП1'!I22/1000</f>
        <v>2.2387550000000003</v>
      </c>
      <c r="H22" s="65">
        <f>'пр к ПП1'!J22/1000</f>
        <v>2.2387550000000003</v>
      </c>
      <c r="I22" s="65">
        <f>'пр к ПП1'!K22/1000</f>
        <v>6.7162649999999999</v>
      </c>
      <c r="J22" s="166" t="s">
        <v>186</v>
      </c>
      <c r="K22" s="416"/>
    </row>
    <row r="23" spans="1:18" ht="109.5" customHeight="1" x14ac:dyDescent="0.25">
      <c r="A23" s="420"/>
      <c r="B23" s="423">
        <v>5</v>
      </c>
      <c r="C23" s="423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17" t="s">
        <v>194</v>
      </c>
      <c r="E23" s="425" t="s">
        <v>185</v>
      </c>
      <c r="F23" s="161">
        <f>'пр к ПП1'!H24/1000</f>
        <v>0</v>
      </c>
      <c r="G23" s="161">
        <f>'пр к ПП1'!I24/1000</f>
        <v>0</v>
      </c>
      <c r="H23" s="161">
        <f>'пр к ПП1'!J24/1000</f>
        <v>0</v>
      </c>
      <c r="I23" s="161">
        <f>'пр к ПП1'!K24/1000</f>
        <v>0</v>
      </c>
      <c r="J23" s="235" t="s">
        <v>193</v>
      </c>
      <c r="K23" s="168"/>
    </row>
    <row r="24" spans="1:18" ht="109.5" customHeight="1" x14ac:dyDescent="0.25">
      <c r="A24" s="420"/>
      <c r="B24" s="424"/>
      <c r="C24" s="424"/>
      <c r="D24" s="419"/>
      <c r="E24" s="426"/>
      <c r="F24" s="161">
        <f>'пр к ПП1'!H25/1000</f>
        <v>0</v>
      </c>
      <c r="G24" s="161">
        <f>'пр к ПП1'!I25/1000</f>
        <v>0</v>
      </c>
      <c r="H24" s="161">
        <f>'пр к ПП1'!J25/1000</f>
        <v>0</v>
      </c>
      <c r="I24" s="161">
        <f>'пр к ПП1'!K25/1000</f>
        <v>0</v>
      </c>
      <c r="J24" s="166" t="s">
        <v>186</v>
      </c>
      <c r="K24" s="236"/>
    </row>
    <row r="25" spans="1:18" ht="109.5" customHeight="1" x14ac:dyDescent="0.25">
      <c r="A25" s="420"/>
      <c r="B25" s="215">
        <v>6</v>
      </c>
      <c r="C25" s="98" t="str">
        <f>'пр к ПП1'!B27</f>
        <v>Обустройство и содержание зимней автодороги Игарка - Светлогосрк - Туруханск</v>
      </c>
      <c r="D25" s="62" t="s">
        <v>194</v>
      </c>
      <c r="E25" s="90" t="s">
        <v>185</v>
      </c>
      <c r="F25" s="65">
        <f>'пр к ПП1'!H27/1000</f>
        <v>12.45</v>
      </c>
      <c r="G25" s="65">
        <f>'пр к ПП1'!I27/1000</f>
        <v>12.45</v>
      </c>
      <c r="H25" s="65">
        <f>'пр к ПП1'!J27/1000</f>
        <v>12.45</v>
      </c>
      <c r="I25" s="65">
        <f>'пр к ПП1'!K27/1000</f>
        <v>37.35</v>
      </c>
      <c r="J25" s="214" t="s">
        <v>186</v>
      </c>
      <c r="K25" s="216"/>
    </row>
    <row r="26" spans="1:18" x14ac:dyDescent="0.25">
      <c r="A26" s="420"/>
      <c r="B26" s="63"/>
      <c r="C26" s="104" t="s">
        <v>222</v>
      </c>
      <c r="D26" s="63" t="s">
        <v>30</v>
      </c>
      <c r="E26" s="63" t="s">
        <v>30</v>
      </c>
      <c r="F26" s="67">
        <f>F5+F13+F21+F22+F23+F24+F25</f>
        <v>56.910410999999996</v>
      </c>
      <c r="G26" s="67">
        <f>G5+G13+G21+G22+G23+G24+G25</f>
        <v>61.732884999999996</v>
      </c>
      <c r="H26" s="67">
        <f t="shared" ref="H26:I26" si="17">H5+H13+H21+H22+H23+H24+H25</f>
        <v>62.801384999999996</v>
      </c>
      <c r="I26" s="67">
        <f t="shared" si="17"/>
        <v>181.444681</v>
      </c>
      <c r="J26" s="63" t="s">
        <v>30</v>
      </c>
      <c r="K26" s="91"/>
    </row>
    <row r="28" spans="1:18" s="69" customFormat="1" x14ac:dyDescent="0.25">
      <c r="B28" s="68"/>
      <c r="F28" s="70">
        <f>SUM(F6:F12,F14:F20)</f>
        <v>38.006300000000003</v>
      </c>
      <c r="G28" s="70">
        <f>SUM(G6:G12,G14:G20)</f>
        <v>41.393299999999996</v>
      </c>
      <c r="H28" s="70">
        <f>SUM(H6:H12,H14:H20)</f>
        <v>42.461799999999997</v>
      </c>
      <c r="I28" s="70">
        <f>SUM(I6:I12,I14:I20)</f>
        <v>121.86140000000002</v>
      </c>
      <c r="L28"/>
      <c r="M28"/>
      <c r="N28"/>
      <c r="O28"/>
      <c r="P28"/>
      <c r="Q28"/>
      <c r="R28"/>
    </row>
    <row r="29" spans="1:18" s="69" customFormat="1" x14ac:dyDescent="0.25">
      <c r="B29" s="68"/>
      <c r="F29" s="71">
        <f>('пр к ПП1'!H17+'пр к ПП1'!H15)/1000</f>
        <v>41.366099999999996</v>
      </c>
      <c r="G29" s="71">
        <f>('пр к ПП1'!I17+'пр к ПП1'!I15)/1000</f>
        <v>43.6252</v>
      </c>
      <c r="H29" s="71">
        <f>('пр к ПП1'!J17+'пр к ПП1'!J15)/1000</f>
        <v>44.765000000000001</v>
      </c>
      <c r="I29" s="71">
        <f>('пр к ПП1'!K17+'пр к ПП1'!K15)/1000</f>
        <v>129.75629999999998</v>
      </c>
      <c r="L29"/>
      <c r="M29"/>
      <c r="N29"/>
      <c r="O29"/>
      <c r="P29"/>
      <c r="Q29"/>
      <c r="R29"/>
    </row>
    <row r="30" spans="1:18" s="69" customFormat="1" x14ac:dyDescent="0.25">
      <c r="B30" s="68"/>
      <c r="F30" s="71" t="b">
        <f>F28=F29</f>
        <v>0</v>
      </c>
      <c r="G30" s="71" t="b">
        <f t="shared" ref="G30:I30" si="18">G28=G29</f>
        <v>0</v>
      </c>
      <c r="H30" s="71" t="b">
        <f t="shared" si="18"/>
        <v>0</v>
      </c>
      <c r="I30" s="71" t="b">
        <f t="shared" si="18"/>
        <v>0</v>
      </c>
      <c r="L30"/>
      <c r="M30"/>
      <c r="N30"/>
      <c r="O30"/>
      <c r="P30"/>
      <c r="Q30"/>
      <c r="R30"/>
    </row>
    <row r="34" spans="2:8" s="241" customFormat="1" x14ac:dyDescent="0.25">
      <c r="B34" s="242"/>
      <c r="D34" s="243" t="s">
        <v>245</v>
      </c>
      <c r="F34" s="244" t="str">
        <f>F4</f>
        <v>2020</v>
      </c>
      <c r="G34" s="244" t="str">
        <f t="shared" ref="G34:H34" si="19">G4</f>
        <v>2021</v>
      </c>
      <c r="H34" s="244" t="str">
        <f t="shared" si="19"/>
        <v>2022</v>
      </c>
    </row>
    <row r="35" spans="2:8" s="241" customFormat="1" x14ac:dyDescent="0.25">
      <c r="B35" s="242"/>
      <c r="D35" s="245" t="s">
        <v>278</v>
      </c>
      <c r="F35" s="246">
        <v>3956.4</v>
      </c>
      <c r="G35" s="247">
        <v>4110</v>
      </c>
      <c r="H35" s="247">
        <v>4271</v>
      </c>
    </row>
    <row r="36" spans="2:8" s="241" customFormat="1" x14ac:dyDescent="0.25">
      <c r="B36" s="242"/>
      <c r="D36" s="245" t="s">
        <v>279</v>
      </c>
      <c r="F36" s="246">
        <v>879.2</v>
      </c>
      <c r="G36" s="247">
        <v>914</v>
      </c>
      <c r="H36" s="247">
        <v>950</v>
      </c>
    </row>
    <row r="37" spans="2:8" s="241" customFormat="1" x14ac:dyDescent="0.25">
      <c r="B37" s="242"/>
      <c r="D37" s="245" t="s">
        <v>280</v>
      </c>
      <c r="F37" s="246">
        <v>2813.4</v>
      </c>
      <c r="G37" s="247">
        <v>2922</v>
      </c>
      <c r="H37" s="247">
        <v>3036</v>
      </c>
    </row>
    <row r="38" spans="2:8" s="241" customFormat="1" x14ac:dyDescent="0.25">
      <c r="B38" s="242"/>
      <c r="D38" s="245" t="s">
        <v>281</v>
      </c>
      <c r="F38" s="246">
        <v>879.2</v>
      </c>
      <c r="G38" s="247">
        <v>914</v>
      </c>
      <c r="H38" s="247">
        <v>950</v>
      </c>
    </row>
    <row r="39" spans="2:8" s="241" customFormat="1" x14ac:dyDescent="0.25">
      <c r="B39" s="242"/>
      <c r="D39" s="245" t="s">
        <v>282</v>
      </c>
      <c r="F39" s="246">
        <v>8000.8</v>
      </c>
      <c r="G39" s="247">
        <v>8312.6</v>
      </c>
      <c r="H39" s="247">
        <v>8637</v>
      </c>
    </row>
    <row r="40" spans="2:8" s="241" customFormat="1" x14ac:dyDescent="0.25">
      <c r="B40" s="242"/>
      <c r="D40" s="245" t="s">
        <v>283</v>
      </c>
      <c r="F40" s="246">
        <v>1143.4000000000001</v>
      </c>
      <c r="G40" s="247">
        <v>1190</v>
      </c>
      <c r="H40" s="247">
        <v>1235</v>
      </c>
    </row>
    <row r="41" spans="2:8" s="241" customFormat="1" x14ac:dyDescent="0.25">
      <c r="B41" s="242"/>
      <c r="D41" s="245" t="s">
        <v>284</v>
      </c>
      <c r="F41" s="246">
        <v>8697.7999999999993</v>
      </c>
      <c r="G41" s="247">
        <v>9036</v>
      </c>
      <c r="H41" s="247">
        <v>9388.0999999999985</v>
      </c>
    </row>
    <row r="42" spans="2:8" s="241" customFormat="1" x14ac:dyDescent="0.25">
      <c r="B42" s="242"/>
      <c r="F42" s="248">
        <f>SUM(F35:F41)</f>
        <v>26370.2</v>
      </c>
      <c r="G42" s="248">
        <f t="shared" ref="G42:H42" si="20">SUM(G35:G41)</f>
        <v>27398.6</v>
      </c>
      <c r="H42" s="248">
        <f t="shared" si="20"/>
        <v>28467.1</v>
      </c>
    </row>
    <row r="43" spans="2:8" s="241" customFormat="1" x14ac:dyDescent="0.25">
      <c r="B43" s="242"/>
    </row>
    <row r="44" spans="2:8" s="241" customFormat="1" x14ac:dyDescent="0.25">
      <c r="B44" s="242"/>
    </row>
    <row r="45" spans="2:8" s="241" customFormat="1" x14ac:dyDescent="0.25">
      <c r="B45" s="242"/>
      <c r="D45" s="243" t="s">
        <v>244</v>
      </c>
      <c r="F45" s="244" t="str">
        <f>F34</f>
        <v>2020</v>
      </c>
      <c r="G45" s="244" t="str">
        <f t="shared" ref="G45:H45" si="21">G34</f>
        <v>2021</v>
      </c>
      <c r="H45" s="244" t="str">
        <f t="shared" si="21"/>
        <v>2022</v>
      </c>
    </row>
    <row r="46" spans="2:8" s="241" customFormat="1" x14ac:dyDescent="0.25">
      <c r="B46" s="242"/>
      <c r="D46" s="245" t="s">
        <v>278</v>
      </c>
      <c r="F46" s="246">
        <v>1396</v>
      </c>
      <c r="G46" s="247">
        <v>1747.684</v>
      </c>
      <c r="H46" s="247">
        <v>1747.684</v>
      </c>
    </row>
    <row r="47" spans="2:8" s="241" customFormat="1" x14ac:dyDescent="0.25">
      <c r="B47" s="242"/>
      <c r="D47" s="245" t="s">
        <v>279</v>
      </c>
      <c r="F47" s="246">
        <v>698</v>
      </c>
      <c r="G47" s="247">
        <v>873.84400000000005</v>
      </c>
      <c r="H47" s="247">
        <v>873.84400000000005</v>
      </c>
    </row>
    <row r="48" spans="2:8" s="241" customFormat="1" x14ac:dyDescent="0.25">
      <c r="B48" s="242"/>
      <c r="D48" s="245" t="s">
        <v>280</v>
      </c>
      <c r="F48" s="246">
        <v>698</v>
      </c>
      <c r="G48" s="247">
        <v>873.84400000000005</v>
      </c>
      <c r="H48" s="247">
        <v>873.84400000000005</v>
      </c>
    </row>
    <row r="49" spans="2:8" s="241" customFormat="1" x14ac:dyDescent="0.25">
      <c r="B49" s="242"/>
      <c r="D49" s="245" t="s">
        <v>281</v>
      </c>
      <c r="F49" s="246">
        <v>698</v>
      </c>
      <c r="G49" s="247">
        <v>873.84400000000005</v>
      </c>
      <c r="H49" s="247">
        <v>873.84400000000005</v>
      </c>
    </row>
    <row r="50" spans="2:8" s="241" customFormat="1" x14ac:dyDescent="0.25">
      <c r="B50" s="242"/>
      <c r="D50" s="245" t="s">
        <v>282</v>
      </c>
      <c r="F50" s="246">
        <v>5121.1000000000004</v>
      </c>
      <c r="G50" s="247">
        <v>6029.3370000000004</v>
      </c>
      <c r="H50" s="247">
        <v>6029.3370000000004</v>
      </c>
    </row>
    <row r="51" spans="2:8" s="241" customFormat="1" x14ac:dyDescent="0.25">
      <c r="B51" s="242"/>
      <c r="D51" s="245" t="s">
        <v>283</v>
      </c>
      <c r="F51" s="246"/>
      <c r="G51" s="247"/>
      <c r="H51" s="247"/>
    </row>
    <row r="52" spans="2:8" s="241" customFormat="1" x14ac:dyDescent="0.25">
      <c r="B52" s="242"/>
      <c r="D52" s="245" t="s">
        <v>284</v>
      </c>
      <c r="F52" s="246">
        <v>3025</v>
      </c>
      <c r="G52" s="247">
        <v>3596.1469999999999</v>
      </c>
      <c r="H52" s="247">
        <v>3596.1469999999999</v>
      </c>
    </row>
    <row r="53" spans="2:8" x14ac:dyDescent="0.25">
      <c r="F53" s="248">
        <f>SUM(F46:F52)</f>
        <v>11636.1</v>
      </c>
      <c r="G53" s="248">
        <f t="shared" ref="G53" si="22">SUM(G46:G52)</f>
        <v>13994.7</v>
      </c>
      <c r="H53" s="248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A22" sqref="A22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15" t="s">
        <v>19</v>
      </c>
      <c r="B1" s="415" t="s">
        <v>176</v>
      </c>
      <c r="C1" s="415" t="s">
        <v>177</v>
      </c>
      <c r="D1" s="415" t="s">
        <v>178</v>
      </c>
      <c r="E1" s="415" t="s">
        <v>179</v>
      </c>
      <c r="F1" s="415"/>
      <c r="G1" s="415"/>
      <c r="H1" s="415"/>
      <c r="I1" s="415"/>
    </row>
    <row r="2" spans="1:10" x14ac:dyDescent="0.25">
      <c r="A2" s="415"/>
      <c r="B2" s="415"/>
      <c r="C2" s="415"/>
      <c r="D2" s="415"/>
      <c r="E2" s="415" t="s">
        <v>180</v>
      </c>
      <c r="F2" s="415"/>
      <c r="G2" s="415"/>
      <c r="H2" s="415"/>
      <c r="I2" s="415" t="s">
        <v>181</v>
      </c>
    </row>
    <row r="3" spans="1:10" x14ac:dyDescent="0.25">
      <c r="A3" s="415"/>
      <c r="B3" s="415"/>
      <c r="C3" s="415"/>
      <c r="D3" s="415"/>
      <c r="E3" s="415" t="s">
        <v>182</v>
      </c>
      <c r="F3" s="415"/>
      <c r="G3" s="415"/>
      <c r="H3" s="415" t="s">
        <v>183</v>
      </c>
      <c r="I3" s="415"/>
    </row>
    <row r="4" spans="1:10" x14ac:dyDescent="0.25">
      <c r="A4" s="415"/>
      <c r="B4" s="415"/>
      <c r="C4" s="415"/>
      <c r="D4" s="415"/>
      <c r="E4" s="145">
        <v>2018</v>
      </c>
      <c r="F4" s="145">
        <v>2019</v>
      </c>
      <c r="G4" s="145">
        <v>2020</v>
      </c>
      <c r="H4" s="415"/>
      <c r="I4" s="415"/>
    </row>
    <row r="5" spans="1:10" ht="92.25" customHeight="1" x14ac:dyDescent="0.25">
      <c r="A5" s="55">
        <v>1</v>
      </c>
      <c r="B5" s="56" t="s">
        <v>105</v>
      </c>
      <c r="C5" s="428" t="s">
        <v>184</v>
      </c>
      <c r="D5" s="417" t="s">
        <v>185</v>
      </c>
      <c r="E5" s="152">
        <f>'пр к ПП2'!H15/1000</f>
        <v>112.57709299999999</v>
      </c>
      <c r="F5" s="152">
        <f>'пр к ПП2'!I15/1000</f>
        <v>112.57709299999999</v>
      </c>
      <c r="G5" s="152">
        <f>'пр к ПП2'!J15/1000</f>
        <v>112.57709299999999</v>
      </c>
      <c r="H5" s="152">
        <f t="shared" ref="H5:H12" si="0">SUM(E5:G5)</f>
        <v>337.73127899999997</v>
      </c>
      <c r="I5" s="55" t="s">
        <v>186</v>
      </c>
    </row>
    <row r="6" spans="1:10" ht="92.25" customHeight="1" x14ac:dyDescent="0.25">
      <c r="A6" s="166" t="s">
        <v>3</v>
      </c>
      <c r="B6" s="56" t="s">
        <v>249</v>
      </c>
      <c r="C6" s="429"/>
      <c r="D6" s="418"/>
      <c r="E6" s="152">
        <f>E5-E7</f>
        <v>100.88901973999999</v>
      </c>
      <c r="F6" s="152">
        <f t="shared" ref="F6:G6" si="1">F5-F7</f>
        <v>100.88901973999999</v>
      </c>
      <c r="G6" s="152">
        <f t="shared" si="1"/>
        <v>100.88901973999999</v>
      </c>
      <c r="H6" s="152">
        <f t="shared" si="0"/>
        <v>302.66705922</v>
      </c>
      <c r="I6" s="166" t="s">
        <v>186</v>
      </c>
    </row>
    <row r="7" spans="1:10" ht="92.25" customHeight="1" x14ac:dyDescent="0.25">
      <c r="A7" s="166" t="s">
        <v>84</v>
      </c>
      <c r="B7" s="56" t="s">
        <v>250</v>
      </c>
      <c r="C7" s="430"/>
      <c r="D7" s="419"/>
      <c r="E7" s="152">
        <f>(1688073.36+9999999.9)/1000000</f>
        <v>11.688073259999999</v>
      </c>
      <c r="F7" s="152">
        <f t="shared" ref="F7:G7" si="2">(1688073.36+9999999.9)/1000000</f>
        <v>11.688073259999999</v>
      </c>
      <c r="G7" s="152">
        <f t="shared" si="2"/>
        <v>11.688073259999999</v>
      </c>
      <c r="H7" s="152">
        <f t="shared" si="0"/>
        <v>35.064219780000002</v>
      </c>
      <c r="I7" s="166" t="s">
        <v>186</v>
      </c>
    </row>
    <row r="8" spans="1:10" ht="87" customHeight="1" x14ac:dyDescent="0.25">
      <c r="A8" s="415">
        <v>2</v>
      </c>
      <c r="B8" s="427" t="s">
        <v>106</v>
      </c>
      <c r="C8" s="57" t="s">
        <v>187</v>
      </c>
      <c r="D8" s="415" t="s">
        <v>185</v>
      </c>
      <c r="E8" s="152">
        <f>SUM(E9:E12)</f>
        <v>23.853501561414642</v>
      </c>
      <c r="F8" s="152">
        <f t="shared" ref="F8:G8" si="3">SUM(F9:F12)</f>
        <v>23.853501561414642</v>
      </c>
      <c r="G8" s="152">
        <f t="shared" si="3"/>
        <v>23.853501561414642</v>
      </c>
      <c r="H8" s="152">
        <f t="shared" si="0"/>
        <v>71.560504684243924</v>
      </c>
      <c r="I8" s="417" t="s">
        <v>186</v>
      </c>
    </row>
    <row r="9" spans="1:10" x14ac:dyDescent="0.25">
      <c r="A9" s="415"/>
      <c r="B9" s="427"/>
      <c r="C9" s="58" t="s">
        <v>189</v>
      </c>
      <c r="D9" s="415"/>
      <c r="E9" s="153">
        <f>J9/1000000</f>
        <v>18.31394842027715</v>
      </c>
      <c r="F9" s="153">
        <f>E9</f>
        <v>18.31394842027715</v>
      </c>
      <c r="G9" s="153">
        <f>F9</f>
        <v>18.31394842027715</v>
      </c>
      <c r="H9" s="153">
        <f t="shared" si="0"/>
        <v>54.94184526083145</v>
      </c>
      <c r="I9" s="418"/>
      <c r="J9" s="223">
        <v>18313948.420277148</v>
      </c>
    </row>
    <row r="10" spans="1:10" x14ac:dyDescent="0.25">
      <c r="A10" s="415"/>
      <c r="B10" s="427"/>
      <c r="C10" s="58" t="s">
        <v>190</v>
      </c>
      <c r="D10" s="415"/>
      <c r="E10" s="153">
        <f t="shared" ref="E10:E12" si="4">J10/1000000</f>
        <v>3.2322237667255029</v>
      </c>
      <c r="F10" s="153">
        <f t="shared" ref="F10:G12" si="5">E10</f>
        <v>3.2322237667255029</v>
      </c>
      <c r="G10" s="153">
        <f t="shared" si="5"/>
        <v>3.2322237667255029</v>
      </c>
      <c r="H10" s="153">
        <f t="shared" si="0"/>
        <v>9.6966713001765079</v>
      </c>
      <c r="I10" s="418"/>
      <c r="J10" s="223">
        <v>3232223.7667255029</v>
      </c>
    </row>
    <row r="11" spans="1:10" x14ac:dyDescent="0.25">
      <c r="A11" s="415"/>
      <c r="B11" s="427"/>
      <c r="C11" s="58" t="s">
        <v>191</v>
      </c>
      <c r="D11" s="415"/>
      <c r="E11" s="153">
        <f t="shared" si="4"/>
        <v>1.7207185929828479</v>
      </c>
      <c r="F11" s="153">
        <f t="shared" si="5"/>
        <v>1.7207185929828479</v>
      </c>
      <c r="G11" s="153">
        <f t="shared" si="5"/>
        <v>1.7207185929828479</v>
      </c>
      <c r="H11" s="153">
        <f t="shared" si="0"/>
        <v>5.1621557789485433</v>
      </c>
      <c r="I11" s="418"/>
      <c r="J11" s="223">
        <v>1720718.5929828479</v>
      </c>
    </row>
    <row r="12" spans="1:10" x14ac:dyDescent="0.25">
      <c r="A12" s="415"/>
      <c r="B12" s="427"/>
      <c r="C12" s="58" t="s">
        <v>188</v>
      </c>
      <c r="D12" s="415"/>
      <c r="E12" s="153">
        <f t="shared" si="4"/>
        <v>0.58661078142913992</v>
      </c>
      <c r="F12" s="153">
        <f t="shared" si="5"/>
        <v>0.58661078142913992</v>
      </c>
      <c r="G12" s="153">
        <f t="shared" si="5"/>
        <v>0.58661078142913992</v>
      </c>
      <c r="H12" s="153">
        <f t="shared" si="0"/>
        <v>1.7598323442874197</v>
      </c>
      <c r="I12" s="419"/>
      <c r="J12" s="223">
        <v>586610.7814291399</v>
      </c>
    </row>
    <row r="13" spans="1:10" ht="76.5" hidden="1" x14ac:dyDescent="0.25">
      <c r="A13" s="93">
        <v>3</v>
      </c>
      <c r="B13" s="94" t="e">
        <f>'пр к ПП2'!#REF!</f>
        <v>#REF!</v>
      </c>
      <c r="C13" s="56" t="s">
        <v>184</v>
      </c>
      <c r="D13" s="93" t="s">
        <v>220</v>
      </c>
      <c r="E13" s="153" t="e">
        <f>'пр к ПП2'!#REF!/1000</f>
        <v>#REF!</v>
      </c>
      <c r="F13" s="153" t="e">
        <f>'пр к ПП2'!#REF!/1000</f>
        <v>#REF!</v>
      </c>
      <c r="G13" s="153" t="e">
        <f>'пр к ПП2'!#REF!/1000</f>
        <v>#REF!</v>
      </c>
      <c r="H13" s="153" t="e">
        <f t="shared" ref="H13:H14" si="6">SUM(E13:G13)</f>
        <v>#REF!</v>
      </c>
      <c r="I13" s="93" t="s">
        <v>186</v>
      </c>
    </row>
    <row r="14" spans="1:10" ht="65.25" hidden="1" customHeight="1" outlineLevel="1" x14ac:dyDescent="0.25">
      <c r="A14" s="93">
        <v>3</v>
      </c>
      <c r="B14" s="94" t="str">
        <f>'пр к ПП2'!B20</f>
        <v>Создание условий для безопасности перевозок автомобильным, авиационным и речным транспортом</v>
      </c>
      <c r="C14" s="62" t="s">
        <v>194</v>
      </c>
      <c r="D14" s="93" t="s">
        <v>185</v>
      </c>
      <c r="E14" s="153">
        <f>'пр к ПП2'!H20/1000</f>
        <v>0</v>
      </c>
      <c r="F14" s="153">
        <f>'пр к ПП2'!I20/1000</f>
        <v>0</v>
      </c>
      <c r="G14" s="153">
        <f>'пр к ПП2'!J20/1000</f>
        <v>0</v>
      </c>
      <c r="H14" s="153">
        <f t="shared" si="6"/>
        <v>0</v>
      </c>
      <c r="I14" s="93" t="s">
        <v>186</v>
      </c>
    </row>
    <row r="15" spans="1:10" ht="140.25" hidden="1" outlineLevel="1" x14ac:dyDescent="0.25">
      <c r="A15" s="193">
        <v>4</v>
      </c>
      <c r="B15" s="194" t="str">
        <f>'пр к ПП2'!B22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62" t="s">
        <v>264</v>
      </c>
      <c r="D15" s="193" t="s">
        <v>185</v>
      </c>
      <c r="E15" s="153">
        <f>'пр к ПП2'!H22/1000</f>
        <v>0</v>
      </c>
      <c r="F15" s="153">
        <f>'пр к ПП2'!I22/1000</f>
        <v>0</v>
      </c>
      <c r="G15" s="153">
        <f>'пр к ПП2'!J22/1000</f>
        <v>0</v>
      </c>
      <c r="H15" s="153">
        <f>'пр к ПП2'!K22/1000</f>
        <v>0</v>
      </c>
      <c r="I15" s="193" t="s">
        <v>186</v>
      </c>
    </row>
    <row r="16" spans="1:10" s="61" customFormat="1" collapsed="1" x14ac:dyDescent="0.25">
      <c r="A16" s="59"/>
      <c r="B16" s="104" t="s">
        <v>222</v>
      </c>
      <c r="C16" s="60" t="s">
        <v>30</v>
      </c>
      <c r="D16" s="60" t="s">
        <v>30</v>
      </c>
      <c r="E16" s="154">
        <f>E5+E8+E15</f>
        <v>136.43059456141464</v>
      </c>
      <c r="F16" s="154">
        <f t="shared" ref="F16:H16" si="7">F5+F8+F15</f>
        <v>136.43059456141464</v>
      </c>
      <c r="G16" s="154">
        <f t="shared" si="7"/>
        <v>136.43059456141464</v>
      </c>
      <c r="H16" s="154">
        <f t="shared" si="7"/>
        <v>409.29178368424391</v>
      </c>
      <c r="I16" s="60" t="s">
        <v>30</v>
      </c>
    </row>
    <row r="19" spans="3:8" x14ac:dyDescent="0.25">
      <c r="C19" s="58"/>
      <c r="E19" s="222">
        <f>E16*1000-'пр к ПП2'!H33</f>
        <v>-26928.199438585347</v>
      </c>
      <c r="F19" s="222">
        <f>F16*1000-'пр к ПП2'!I33</f>
        <v>-8628.1994385853468</v>
      </c>
      <c r="G19" s="222">
        <f>G16*1000-'пр к ПП2'!J33</f>
        <v>-8628.1994385853468</v>
      </c>
      <c r="H19" s="222">
        <f>H16*1000-'пр к ПП2'!K33</f>
        <v>-44184.598315756069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A22" sqref="A22"/>
    </sheetView>
  </sheetViews>
  <sheetFormatPr defaultRowHeight="15.75" outlineLevelRow="1" x14ac:dyDescent="0.25"/>
  <cols>
    <col min="1" max="1" width="3.5" style="99" customWidth="1"/>
    <col min="2" max="2" width="20.375" customWidth="1"/>
    <col min="3" max="3" width="28" customWidth="1"/>
    <col min="4" max="4" width="10" customWidth="1"/>
    <col min="9" max="9" width="9" style="64"/>
  </cols>
  <sheetData>
    <row r="1" spans="1:9" x14ac:dyDescent="0.25">
      <c r="A1" s="431" t="s">
        <v>19</v>
      </c>
      <c r="B1" s="431" t="s">
        <v>176</v>
      </c>
      <c r="C1" s="431" t="s">
        <v>177</v>
      </c>
      <c r="D1" s="431" t="s">
        <v>178</v>
      </c>
      <c r="E1" s="431" t="s">
        <v>179</v>
      </c>
      <c r="F1" s="431"/>
      <c r="G1" s="431"/>
      <c r="H1" s="431"/>
      <c r="I1" s="431"/>
    </row>
    <row r="2" spans="1:9" x14ac:dyDescent="0.25">
      <c r="A2" s="431"/>
      <c r="B2" s="431"/>
      <c r="C2" s="431"/>
      <c r="D2" s="431"/>
      <c r="E2" s="431" t="s">
        <v>221</v>
      </c>
      <c r="F2" s="431"/>
      <c r="G2" s="431"/>
      <c r="H2" s="431"/>
      <c r="I2" s="431" t="s">
        <v>181</v>
      </c>
    </row>
    <row r="3" spans="1:9" x14ac:dyDescent="0.25">
      <c r="A3" s="431"/>
      <c r="B3" s="431"/>
      <c r="C3" s="431"/>
      <c r="D3" s="431"/>
      <c r="E3" s="431" t="s">
        <v>182</v>
      </c>
      <c r="F3" s="431"/>
      <c r="G3" s="431"/>
      <c r="H3" s="431" t="s">
        <v>183</v>
      </c>
      <c r="I3" s="431"/>
    </row>
    <row r="4" spans="1:9" x14ac:dyDescent="0.25">
      <c r="A4" s="431"/>
      <c r="B4" s="431"/>
      <c r="C4" s="431"/>
      <c r="D4" s="431"/>
      <c r="E4" s="166" t="str">
        <f>пп1!F4</f>
        <v>2020</v>
      </c>
      <c r="F4" s="235" t="str">
        <f>пп1!G4</f>
        <v>2021</v>
      </c>
      <c r="G4" s="235" t="str">
        <f>пп1!H4</f>
        <v>2022</v>
      </c>
      <c r="H4" s="431"/>
      <c r="I4" s="431"/>
    </row>
    <row r="5" spans="1:9" ht="72.75" hidden="1" customHeight="1" outlineLevel="1" x14ac:dyDescent="0.25">
      <c r="A5" s="170">
        <v>1</v>
      </c>
      <c r="B5" s="126" t="str">
        <f>'пр к ПП3'!B15</f>
        <v>Проведение мероприятий, направленных на обеспечение безопасного участия детей в дорожном движении</v>
      </c>
      <c r="C5" s="435" t="s">
        <v>224</v>
      </c>
      <c r="D5" s="431" t="s">
        <v>223</v>
      </c>
      <c r="E5" s="100">
        <f>E6+E7</f>
        <v>0</v>
      </c>
      <c r="F5" s="100">
        <f t="shared" ref="F5:G5" si="0">F6+F7</f>
        <v>0</v>
      </c>
      <c r="G5" s="100">
        <f t="shared" si="0"/>
        <v>0</v>
      </c>
      <c r="H5" s="100">
        <f>SUM(E5:G5)</f>
        <v>0</v>
      </c>
      <c r="I5" s="170"/>
    </row>
    <row r="6" spans="1:9" ht="101.25" hidden="1" customHeight="1" outlineLevel="1" x14ac:dyDescent="0.25">
      <c r="A6" s="170" t="s">
        <v>3</v>
      </c>
      <c r="B6" s="126" t="s">
        <v>238</v>
      </c>
      <c r="C6" s="435"/>
      <c r="D6" s="431"/>
      <c r="E6" s="100">
        <f>'пр к ПП3'!H15</f>
        <v>0</v>
      </c>
      <c r="F6" s="100">
        <f>'пр к ПП3'!I15</f>
        <v>0</v>
      </c>
      <c r="G6" s="100">
        <f>'пр к ПП3'!J15</f>
        <v>0</v>
      </c>
      <c r="H6" s="100">
        <f t="shared" ref="H6:H10" si="1">SUM(E6:G6)</f>
        <v>0</v>
      </c>
      <c r="I6" s="170" t="s">
        <v>193</v>
      </c>
    </row>
    <row r="7" spans="1:9" ht="93.75" hidden="1" customHeight="1" outlineLevel="1" x14ac:dyDescent="0.25">
      <c r="A7" s="170" t="s">
        <v>84</v>
      </c>
      <c r="B7" s="126" t="s">
        <v>239</v>
      </c>
      <c r="C7" s="435"/>
      <c r="D7" s="431"/>
      <c r="E7" s="100">
        <f>'пр к ПП3'!H16</f>
        <v>0</v>
      </c>
      <c r="F7" s="100">
        <f>'пр к ПП3'!I16</f>
        <v>0</v>
      </c>
      <c r="G7" s="100">
        <f>'пр к ПП3'!J16</f>
        <v>0</v>
      </c>
      <c r="H7" s="100">
        <f t="shared" si="1"/>
        <v>0</v>
      </c>
      <c r="I7" s="170" t="s">
        <v>186</v>
      </c>
    </row>
    <row r="8" spans="1:9" ht="38.25" customHeight="1" collapsed="1" x14ac:dyDescent="0.25">
      <c r="A8" s="432">
        <v>1</v>
      </c>
      <c r="B8" s="432" t="str">
        <f>'пр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126" t="s">
        <v>192</v>
      </c>
      <c r="D8" s="432" t="s">
        <v>55</v>
      </c>
      <c r="E8" s="102">
        <f>E9+E10</f>
        <v>220.5</v>
      </c>
      <c r="F8" s="102">
        <f>'пр к ПП3'!I18</f>
        <v>0</v>
      </c>
      <c r="G8" s="102">
        <f>'пр к ПП3'!J18</f>
        <v>0</v>
      </c>
      <c r="H8" s="100">
        <f t="shared" si="1"/>
        <v>220.5</v>
      </c>
      <c r="I8" s="432" t="s">
        <v>193</v>
      </c>
    </row>
    <row r="9" spans="1:9" ht="30.75" customHeight="1" x14ac:dyDescent="0.25">
      <c r="A9" s="433"/>
      <c r="B9" s="433"/>
      <c r="C9" s="237" t="s">
        <v>190</v>
      </c>
      <c r="D9" s="433"/>
      <c r="E9" s="102">
        <v>88.2</v>
      </c>
      <c r="F9" s="102"/>
      <c r="G9" s="102"/>
      <c r="H9" s="100">
        <f t="shared" si="1"/>
        <v>88.2</v>
      </c>
      <c r="I9" s="433"/>
    </row>
    <row r="10" spans="1:9" ht="25.5" x14ac:dyDescent="0.25">
      <c r="A10" s="434"/>
      <c r="B10" s="434"/>
      <c r="C10" s="237" t="s">
        <v>189</v>
      </c>
      <c r="D10" s="434"/>
      <c r="E10" s="102">
        <v>132.30000000000001</v>
      </c>
      <c r="F10" s="102"/>
      <c r="G10" s="102"/>
      <c r="H10" s="100">
        <f t="shared" si="1"/>
        <v>132.30000000000001</v>
      </c>
      <c r="I10" s="434"/>
    </row>
    <row r="11" spans="1:9" ht="102" x14ac:dyDescent="0.25">
      <c r="A11" s="171">
        <v>2</v>
      </c>
      <c r="B11" s="150" t="str">
        <f>'пр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172" t="s">
        <v>257</v>
      </c>
      <c r="D11" s="171" t="s">
        <v>259</v>
      </c>
      <c r="E11" s="102">
        <v>0</v>
      </c>
      <c r="F11" s="102">
        <v>0</v>
      </c>
      <c r="G11" s="102">
        <v>0</v>
      </c>
      <c r="H11" s="100">
        <v>0</v>
      </c>
      <c r="I11" s="171" t="s">
        <v>260</v>
      </c>
    </row>
    <row r="12" spans="1:9" s="61" customFormat="1" x14ac:dyDescent="0.25">
      <c r="A12" s="103"/>
      <c r="B12" s="104" t="s">
        <v>222</v>
      </c>
      <c r="C12" s="103" t="s">
        <v>30</v>
      </c>
      <c r="D12" s="103" t="s">
        <v>30</v>
      </c>
      <c r="E12" s="105">
        <f>E5+E8</f>
        <v>220.5</v>
      </c>
      <c r="F12" s="105">
        <f t="shared" ref="F12:H12" si="2">F5+F8</f>
        <v>0</v>
      </c>
      <c r="G12" s="105">
        <f t="shared" si="2"/>
        <v>0</v>
      </c>
      <c r="H12" s="105">
        <f t="shared" si="2"/>
        <v>220.5</v>
      </c>
      <c r="I12" s="103" t="s">
        <v>30</v>
      </c>
    </row>
    <row r="14" spans="1:9" x14ac:dyDescent="0.25">
      <c r="E14" s="182">
        <f>'пр к ПП3'!H24</f>
        <v>1259.2</v>
      </c>
      <c r="F14" s="157">
        <f>'пр к ПП3'!I24</f>
        <v>378.6</v>
      </c>
      <c r="G14" s="157">
        <f>'пр к ПП3'!J24</f>
        <v>378.6</v>
      </c>
      <c r="H14">
        <f t="shared" ref="H14" si="3">SUM(E14:G14)</f>
        <v>2016.4</v>
      </c>
    </row>
    <row r="15" spans="1:9" x14ac:dyDescent="0.25">
      <c r="E15" t="b">
        <f>E14=E8</f>
        <v>0</v>
      </c>
      <c r="F15" t="b">
        <f t="shared" ref="F15:G15" si="4">F14=F8</f>
        <v>0</v>
      </c>
      <c r="G15" t="b">
        <f t="shared" si="4"/>
        <v>0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A22" sqref="A22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31" t="s">
        <v>19</v>
      </c>
      <c r="B1" s="431" t="s">
        <v>176</v>
      </c>
      <c r="C1" s="431" t="s">
        <v>177</v>
      </c>
      <c r="D1" s="431" t="s">
        <v>178</v>
      </c>
      <c r="E1" s="431" t="s">
        <v>179</v>
      </c>
      <c r="F1" s="431"/>
      <c r="G1" s="431"/>
      <c r="H1" s="431"/>
      <c r="I1" s="431"/>
    </row>
    <row r="2" spans="1:9" x14ac:dyDescent="0.25">
      <c r="A2" s="431"/>
      <c r="B2" s="431"/>
      <c r="C2" s="431"/>
      <c r="D2" s="431"/>
      <c r="E2" s="431" t="s">
        <v>221</v>
      </c>
      <c r="F2" s="431"/>
      <c r="G2" s="431"/>
      <c r="H2" s="431"/>
      <c r="I2" s="431" t="s">
        <v>181</v>
      </c>
    </row>
    <row r="3" spans="1:9" x14ac:dyDescent="0.25">
      <c r="A3" s="431"/>
      <c r="B3" s="431"/>
      <c r="C3" s="431"/>
      <c r="D3" s="431"/>
      <c r="E3" s="431" t="s">
        <v>182</v>
      </c>
      <c r="F3" s="431"/>
      <c r="G3" s="431"/>
      <c r="H3" s="431" t="s">
        <v>183</v>
      </c>
      <c r="I3" s="431"/>
    </row>
    <row r="4" spans="1:9" x14ac:dyDescent="0.25">
      <c r="A4" s="431"/>
      <c r="B4" s="431"/>
      <c r="C4" s="431"/>
      <c r="D4" s="431"/>
      <c r="E4" s="166">
        <v>2018</v>
      </c>
      <c r="F4" s="166">
        <v>2019</v>
      </c>
      <c r="G4" s="166">
        <v>2020</v>
      </c>
      <c r="H4" s="431"/>
      <c r="I4" s="431"/>
    </row>
    <row r="5" spans="1:9" ht="178.5" customHeight="1" x14ac:dyDescent="0.25">
      <c r="A5" s="170">
        <v>1</v>
      </c>
      <c r="B5" s="175" t="s">
        <v>240</v>
      </c>
      <c r="C5" s="126" t="s">
        <v>224</v>
      </c>
      <c r="D5" s="170" t="s">
        <v>185</v>
      </c>
      <c r="E5" s="101">
        <f>'пр к ПП4'!H15/1000</f>
        <v>10.6</v>
      </c>
      <c r="F5" s="101">
        <f>'пр к ПП4'!I15/1000</f>
        <v>10.6</v>
      </c>
      <c r="G5" s="101">
        <f>'пр к ПП4'!J15/1000</f>
        <v>10.6</v>
      </c>
      <c r="H5" s="100">
        <f t="shared" ref="H5" si="0">SUM(E5:G5)</f>
        <v>31.799999999999997</v>
      </c>
      <c r="I5" s="170" t="s">
        <v>186</v>
      </c>
    </row>
    <row r="6" spans="1:9" ht="106.5" customHeight="1" x14ac:dyDescent="0.25">
      <c r="A6" s="436">
        <v>2</v>
      </c>
      <c r="B6" s="177" t="str">
        <f>'пр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37" t="s">
        <v>194</v>
      </c>
      <c r="D6" s="415" t="s">
        <v>185</v>
      </c>
      <c r="E6" s="174">
        <f>E7+E8</f>
        <v>1.734864</v>
      </c>
      <c r="F6" s="180">
        <f t="shared" ref="F6:H6" si="1">F7+F8</f>
        <v>0</v>
      </c>
      <c r="G6" s="180">
        <f t="shared" si="1"/>
        <v>0</v>
      </c>
      <c r="H6" s="174">
        <f t="shared" si="1"/>
        <v>1.734864</v>
      </c>
      <c r="I6" s="173"/>
    </row>
    <row r="7" spans="1:9" ht="25.5" x14ac:dyDescent="0.25">
      <c r="A7" s="436"/>
      <c r="B7" s="178" t="s">
        <v>251</v>
      </c>
      <c r="C7" s="437"/>
      <c r="D7" s="415"/>
      <c r="E7" s="166">
        <f>'пр к ПП4'!H17/1000</f>
        <v>1.73139428</v>
      </c>
      <c r="F7" s="180">
        <v>0</v>
      </c>
      <c r="G7" s="180">
        <v>0</v>
      </c>
      <c r="H7" s="166">
        <f>'пр к ПП4'!K17/1000</f>
        <v>1.73139428</v>
      </c>
      <c r="I7" s="166" t="s">
        <v>193</v>
      </c>
    </row>
    <row r="8" spans="1:9" ht="25.5" x14ac:dyDescent="0.25">
      <c r="A8" s="436"/>
      <c r="B8" s="179"/>
      <c r="C8" s="437"/>
      <c r="D8" s="415"/>
      <c r="E8" s="174">
        <f>'пр к ПП4'!H18/1000</f>
        <v>3.4697199999999999E-3</v>
      </c>
      <c r="F8" s="180">
        <v>0</v>
      </c>
      <c r="G8" s="180">
        <v>0</v>
      </c>
      <c r="H8" s="174">
        <f>'пр к ПП4'!K18/1000</f>
        <v>3.4697199999999999E-3</v>
      </c>
      <c r="I8" s="166" t="s">
        <v>186</v>
      </c>
    </row>
    <row r="9" spans="1:9" ht="25.5" x14ac:dyDescent="0.25">
      <c r="A9" s="103"/>
      <c r="B9" s="176" t="s">
        <v>222</v>
      </c>
      <c r="C9" s="103" t="s">
        <v>30</v>
      </c>
      <c r="D9" s="103" t="s">
        <v>30</v>
      </c>
      <c r="E9" s="105">
        <f>E5+E6</f>
        <v>12.334864</v>
      </c>
      <c r="F9" s="105">
        <f t="shared" ref="F9:H9" si="2">F5+F6</f>
        <v>10.6</v>
      </c>
      <c r="G9" s="105">
        <f t="shared" si="2"/>
        <v>10.6</v>
      </c>
      <c r="H9" s="105">
        <f t="shared" si="2"/>
        <v>33.534863999999999</v>
      </c>
      <c r="I9" s="103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topLeftCell="A32" workbookViewId="0">
      <selection activeCell="A4" sqref="A4:L40"/>
    </sheetView>
  </sheetViews>
  <sheetFormatPr defaultColWidth="9" defaultRowHeight="15.75" outlineLevelRow="1" x14ac:dyDescent="0.25"/>
  <cols>
    <col min="1" max="1" width="4.875" style="4" customWidth="1"/>
    <col min="2" max="2" width="16.625" style="1" customWidth="1"/>
    <col min="3" max="3" width="17.375" style="1" customWidth="1"/>
    <col min="4" max="4" width="25.625" style="1" customWidth="1"/>
    <col min="5" max="5" width="9" style="4"/>
    <col min="6" max="8" width="9" style="1"/>
    <col min="9" max="9" width="14.625" style="1" customWidth="1"/>
    <col min="10" max="10" width="18.625" style="1" bestFit="1" customWidth="1"/>
    <col min="11" max="11" width="14.25" style="1" customWidth="1"/>
    <col min="12" max="12" width="18.125" style="1" bestFit="1" customWidth="1"/>
    <col min="13" max="16384" width="9" style="1"/>
  </cols>
  <sheetData>
    <row r="1" spans="1:12" ht="84" hidden="1" customHeight="1" outlineLevel="1" x14ac:dyDescent="0.3">
      <c r="A1" s="4" t="s">
        <v>325</v>
      </c>
      <c r="J1" s="355" t="s">
        <v>254</v>
      </c>
      <c r="K1" s="355"/>
      <c r="L1" s="355"/>
    </row>
    <row r="2" spans="1:12" hidden="1" outlineLevel="1" x14ac:dyDescent="0.25"/>
    <row r="3" spans="1:12" hidden="1" outlineLevel="1" x14ac:dyDescent="0.25"/>
    <row r="4" spans="1:12" ht="84" customHeight="1" outlineLevel="1" x14ac:dyDescent="0.3">
      <c r="J4" s="438" t="s">
        <v>327</v>
      </c>
      <c r="K4" s="439"/>
      <c r="L4" s="439"/>
    </row>
    <row r="5" spans="1:12" ht="36" customHeight="1" x14ac:dyDescent="0.3">
      <c r="J5" s="308" t="s">
        <v>164</v>
      </c>
      <c r="K5" s="302"/>
      <c r="L5" s="20"/>
    </row>
    <row r="6" spans="1:12" ht="66" customHeight="1" x14ac:dyDescent="0.25">
      <c r="J6" s="339" t="str">
        <f>CONCATENATE("к муниципальной программе Туруханского района """,'[1]Приложение 2'!C18,"""")</f>
        <v>к муниципальной программе Туруханского района "Развитие транспортной системы и связи Туруханского района"</v>
      </c>
      <c r="K6" s="339"/>
      <c r="L6" s="339"/>
    </row>
    <row r="7" spans="1:12" ht="18.75" x14ac:dyDescent="0.25">
      <c r="A7" s="298"/>
    </row>
    <row r="8" spans="1:12" ht="18.75" x14ac:dyDescent="0.25">
      <c r="A8" s="298"/>
    </row>
    <row r="9" spans="1:12" ht="18.75" x14ac:dyDescent="0.25">
      <c r="A9" s="342" t="s">
        <v>0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</row>
    <row r="10" spans="1:12" ht="18.75" x14ac:dyDescent="0.25">
      <c r="A10" s="342" t="s">
        <v>115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</row>
    <row r="11" spans="1:12" ht="18.75" x14ac:dyDescent="0.25">
      <c r="A11" s="342" t="s">
        <v>116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</row>
    <row r="12" spans="1:12" ht="18.75" x14ac:dyDescent="0.25">
      <c r="A12" s="342" t="s">
        <v>36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</row>
    <row r="13" spans="1:12" ht="18.75" x14ac:dyDescent="0.25">
      <c r="A13" s="298"/>
    </row>
    <row r="14" spans="1:12" ht="18.75" x14ac:dyDescent="0.25">
      <c r="L14" s="5" t="s">
        <v>211</v>
      </c>
    </row>
    <row r="15" spans="1:12" ht="36" customHeight="1" x14ac:dyDescent="0.25">
      <c r="A15" s="411" t="s">
        <v>19</v>
      </c>
      <c r="B15" s="412" t="s">
        <v>33</v>
      </c>
      <c r="C15" s="411" t="s">
        <v>34</v>
      </c>
      <c r="D15" s="411" t="s">
        <v>22</v>
      </c>
      <c r="E15" s="411" t="s">
        <v>23</v>
      </c>
      <c r="F15" s="411"/>
      <c r="G15" s="411"/>
      <c r="H15" s="411"/>
      <c r="I15" s="303">
        <f>'[1]Приложение 3'!L$17</f>
        <v>2022</v>
      </c>
      <c r="J15" s="303">
        <f>'[1]Приложение 3'!M$17</f>
        <v>2023</v>
      </c>
      <c r="K15" s="303">
        <f>'[1]Приложение 3'!N$17</f>
        <v>2024</v>
      </c>
      <c r="L15" s="411" t="s">
        <v>24</v>
      </c>
    </row>
    <row r="16" spans="1:12" ht="36" customHeight="1" x14ac:dyDescent="0.25">
      <c r="A16" s="411"/>
      <c r="B16" s="412"/>
      <c r="C16" s="411"/>
      <c r="D16" s="411"/>
      <c r="E16" s="303" t="s">
        <v>25</v>
      </c>
      <c r="F16" s="303" t="s">
        <v>26</v>
      </c>
      <c r="G16" s="303" t="s">
        <v>27</v>
      </c>
      <c r="H16" s="303" t="s">
        <v>28</v>
      </c>
      <c r="I16" s="303" t="s">
        <v>29</v>
      </c>
      <c r="J16" s="303" t="s">
        <v>29</v>
      </c>
      <c r="K16" s="303" t="s">
        <v>29</v>
      </c>
      <c r="L16" s="411"/>
    </row>
    <row r="17" spans="1:12" x14ac:dyDescent="0.25">
      <c r="A17" s="299">
        <v>1</v>
      </c>
      <c r="B17" s="299">
        <v>2</v>
      </c>
      <c r="C17" s="299">
        <v>3</v>
      </c>
      <c r="D17" s="299">
        <v>4</v>
      </c>
      <c r="E17" s="299">
        <v>5</v>
      </c>
      <c r="F17" s="299">
        <v>6</v>
      </c>
      <c r="G17" s="299">
        <v>7</v>
      </c>
      <c r="H17" s="299">
        <v>8</v>
      </c>
      <c r="I17" s="299">
        <v>9</v>
      </c>
      <c r="J17" s="299">
        <v>10</v>
      </c>
      <c r="K17" s="299">
        <v>11</v>
      </c>
      <c r="L17" s="299">
        <v>12</v>
      </c>
    </row>
    <row r="18" spans="1:12" ht="63" x14ac:dyDescent="0.25">
      <c r="A18" s="410">
        <v>1</v>
      </c>
      <c r="B18" s="413" t="s">
        <v>39</v>
      </c>
      <c r="C18" s="413" t="s">
        <v>103</v>
      </c>
      <c r="D18" s="95" t="s">
        <v>104</v>
      </c>
      <c r="E18" s="96" t="s">
        <v>30</v>
      </c>
      <c r="F18" s="96" t="s">
        <v>30</v>
      </c>
      <c r="G18" s="96" t="s">
        <v>30</v>
      </c>
      <c r="H18" s="96" t="s">
        <v>30</v>
      </c>
      <c r="I18" s="97">
        <f>SUM(I20:I23)</f>
        <v>263486.64500000002</v>
      </c>
      <c r="J18" s="97">
        <f t="shared" ref="J18:K18" si="0">SUM(J20:J23)</f>
        <v>259751.78099999999</v>
      </c>
      <c r="K18" s="97">
        <f t="shared" si="0"/>
        <v>259751.78099999999</v>
      </c>
      <c r="L18" s="97">
        <f>SUM(I18:K18)</f>
        <v>782990.20699999994</v>
      </c>
    </row>
    <row r="19" spans="1:12" x14ac:dyDescent="0.25">
      <c r="A19" s="410"/>
      <c r="B19" s="413"/>
      <c r="C19" s="413"/>
      <c r="D19" s="95" t="s">
        <v>31</v>
      </c>
      <c r="E19" s="96"/>
      <c r="F19" s="96" t="s">
        <v>30</v>
      </c>
      <c r="G19" s="96" t="s">
        <v>30</v>
      </c>
      <c r="H19" s="96" t="s">
        <v>30</v>
      </c>
      <c r="I19" s="97"/>
      <c r="J19" s="97"/>
      <c r="K19" s="97"/>
      <c r="L19" s="97">
        <f t="shared" ref="L19:L38" si="1">SUM(I19:K19)</f>
        <v>0</v>
      </c>
    </row>
    <row r="20" spans="1:12" ht="31.5" x14ac:dyDescent="0.25">
      <c r="A20" s="410"/>
      <c r="B20" s="413"/>
      <c r="C20" s="413"/>
      <c r="D20" s="95" t="s">
        <v>65</v>
      </c>
      <c r="E20" s="96">
        <v>241</v>
      </c>
      <c r="F20" s="96" t="s">
        <v>30</v>
      </c>
      <c r="G20" s="96" t="s">
        <v>30</v>
      </c>
      <c r="H20" s="96" t="s">
        <v>30</v>
      </c>
      <c r="I20" s="97">
        <f>SUMIF($D$24:$D$40,$D20,I$24:I$40)</f>
        <v>189299.296</v>
      </c>
      <c r="J20" s="97">
        <f t="shared" ref="J20:K20" si="2">SUMIF($D$24:$D$40,$D20,J$24:J$40)</f>
        <v>189299.296</v>
      </c>
      <c r="K20" s="97">
        <f t="shared" si="2"/>
        <v>189299.296</v>
      </c>
      <c r="L20" s="97">
        <f t="shared" si="1"/>
        <v>567897.88800000004</v>
      </c>
    </row>
    <row r="21" spans="1:12" ht="47.25" x14ac:dyDescent="0.25">
      <c r="A21" s="410"/>
      <c r="B21" s="413"/>
      <c r="C21" s="413"/>
      <c r="D21" s="95" t="s">
        <v>95</v>
      </c>
      <c r="E21" s="96">
        <v>242</v>
      </c>
      <c r="F21" s="96" t="s">
        <v>30</v>
      </c>
      <c r="G21" s="96" t="s">
        <v>30</v>
      </c>
      <c r="H21" s="96" t="s">
        <v>30</v>
      </c>
      <c r="I21" s="97">
        <f t="shared" ref="I21:K23" si="3">SUMIF($D$24:$D$40,$D21,I$24:I$40)</f>
        <v>3385.694</v>
      </c>
      <c r="J21" s="97">
        <f t="shared" si="3"/>
        <v>1650.83</v>
      </c>
      <c r="K21" s="97">
        <f t="shared" si="3"/>
        <v>1650.83</v>
      </c>
      <c r="L21" s="97">
        <f t="shared" si="1"/>
        <v>6687.3539999999994</v>
      </c>
    </row>
    <row r="22" spans="1:12" ht="63" x14ac:dyDescent="0.25">
      <c r="A22" s="410"/>
      <c r="B22" s="413"/>
      <c r="C22" s="413"/>
      <c r="D22" s="95" t="s">
        <v>66</v>
      </c>
      <c r="E22" s="96">
        <v>247</v>
      </c>
      <c r="F22" s="96" t="s">
        <v>30</v>
      </c>
      <c r="G22" s="96" t="s">
        <v>30</v>
      </c>
      <c r="H22" s="96" t="s">
        <v>30</v>
      </c>
      <c r="I22" s="97">
        <f>I27+I35</f>
        <v>70801.654999999999</v>
      </c>
      <c r="J22" s="97">
        <f>J27+J35</f>
        <v>68801.654999999999</v>
      </c>
      <c r="K22" s="97">
        <f>K27+K35</f>
        <v>68801.654999999999</v>
      </c>
      <c r="L22" s="97">
        <f>I22+J22+K22</f>
        <v>208404.965</v>
      </c>
    </row>
    <row r="23" spans="1:12" ht="47.25" x14ac:dyDescent="0.25">
      <c r="A23" s="410"/>
      <c r="B23" s="413"/>
      <c r="C23" s="413"/>
      <c r="D23" s="95" t="s">
        <v>217</v>
      </c>
      <c r="E23" s="96">
        <v>243</v>
      </c>
      <c r="F23" s="96" t="s">
        <v>30</v>
      </c>
      <c r="G23" s="96" t="s">
        <v>30</v>
      </c>
      <c r="H23" s="96" t="s">
        <v>30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>SUM(I23:K23)</f>
        <v>0</v>
      </c>
    </row>
    <row r="24" spans="1:12" ht="78.75" x14ac:dyDescent="0.25">
      <c r="A24" s="408" t="s">
        <v>3</v>
      </c>
      <c r="B24" s="409" t="s">
        <v>15</v>
      </c>
      <c r="C24" s="409" t="s">
        <v>119</v>
      </c>
      <c r="D24" s="300" t="s">
        <v>35</v>
      </c>
      <c r="E24" s="299"/>
      <c r="F24" s="299" t="s">
        <v>30</v>
      </c>
      <c r="G24" s="299" t="s">
        <v>30</v>
      </c>
      <c r="H24" s="299" t="s">
        <v>30</v>
      </c>
      <c r="I24" s="261">
        <f>I26+I27</f>
        <v>72273.884999999995</v>
      </c>
      <c r="J24" s="261">
        <f t="shared" ref="J24:K24" si="4">J26+J27</f>
        <v>70273.884999999995</v>
      </c>
      <c r="K24" s="261">
        <f t="shared" si="4"/>
        <v>70273.884999999995</v>
      </c>
      <c r="L24" s="261">
        <f>L26+L27</f>
        <v>212821.65499999997</v>
      </c>
    </row>
    <row r="25" spans="1:12" x14ac:dyDescent="0.25">
      <c r="A25" s="408"/>
      <c r="B25" s="409"/>
      <c r="C25" s="409"/>
      <c r="D25" s="300" t="s">
        <v>31</v>
      </c>
      <c r="E25" s="299"/>
      <c r="F25" s="299" t="s">
        <v>30</v>
      </c>
      <c r="G25" s="299" t="s">
        <v>30</v>
      </c>
      <c r="H25" s="299" t="s">
        <v>30</v>
      </c>
      <c r="I25" s="261"/>
      <c r="J25" s="261"/>
      <c r="K25" s="261"/>
      <c r="L25" s="261">
        <f t="shared" si="1"/>
        <v>0</v>
      </c>
    </row>
    <row r="26" spans="1:12" ht="57" customHeight="1" x14ac:dyDescent="0.25">
      <c r="A26" s="408"/>
      <c r="B26" s="409"/>
      <c r="C26" s="409"/>
      <c r="D26" s="300" t="s">
        <v>95</v>
      </c>
      <c r="E26" s="299">
        <f>E21</f>
        <v>242</v>
      </c>
      <c r="F26" s="299" t="s">
        <v>30</v>
      </c>
      <c r="G26" s="299" t="s">
        <v>30</v>
      </c>
      <c r="H26" s="299" t="s">
        <v>30</v>
      </c>
      <c r="I26" s="261">
        <f>'[1]пр к ПП1'!H19</f>
        <v>1650.83</v>
      </c>
      <c r="J26" s="261">
        <f>'[1]пр к ПП1'!I19</f>
        <v>1650.83</v>
      </c>
      <c r="K26" s="261">
        <f>'[1]пр к ПП1'!J19</f>
        <v>1650.83</v>
      </c>
      <c r="L26" s="261">
        <f>'[1]пр к ПП1'!K19</f>
        <v>4952.49</v>
      </c>
    </row>
    <row r="27" spans="1:12" ht="63" x14ac:dyDescent="0.25">
      <c r="A27" s="408"/>
      <c r="B27" s="409"/>
      <c r="C27" s="409"/>
      <c r="D27" s="300" t="s">
        <v>66</v>
      </c>
      <c r="E27" s="299">
        <f>E22</f>
        <v>247</v>
      </c>
      <c r="F27" s="299" t="s">
        <v>30</v>
      </c>
      <c r="G27" s="299" t="s">
        <v>30</v>
      </c>
      <c r="H27" s="299" t="s">
        <v>30</v>
      </c>
      <c r="I27" s="261">
        <f>'[1]пр к ПП1'!H15+'[1]пр к ПП1'!H17+'[1]пр к ПП1'!H20+'[1]пр к ПП1'!H22+'[1]пр к ПП1'!H29+'[1]пр к ПП1'!H33</f>
        <v>70623.054999999993</v>
      </c>
      <c r="J27" s="261">
        <f>'[1]пр к ПП1'!I15+'[1]пр к ПП1'!I17+'[1]пр к ПП1'!I20+'[1]пр к ПП1'!I22+'[1]пр к ПП1'!I29+'[1]пр к ПП1'!I33</f>
        <v>68623.054999999993</v>
      </c>
      <c r="K27" s="261">
        <f>'[1]пр к ПП1'!J15+'[1]пр к ПП1'!J17+'[1]пр к ПП1'!J20+'[1]пр к ПП1'!J22+'[1]пр к ПП1'!J29+'[1]пр к ПП1'!J33</f>
        <v>68623.054999999993</v>
      </c>
      <c r="L27" s="261">
        <f>I27+J27+K27</f>
        <v>207869.16499999998</v>
      </c>
    </row>
    <row r="28" spans="1:12" ht="31.5" x14ac:dyDescent="0.25">
      <c r="A28" s="408" t="s">
        <v>84</v>
      </c>
      <c r="B28" s="409" t="s">
        <v>91</v>
      </c>
      <c r="C28" s="409" t="s">
        <v>98</v>
      </c>
      <c r="D28" s="300" t="s">
        <v>32</v>
      </c>
      <c r="E28" s="299"/>
      <c r="F28" s="299" t="s">
        <v>30</v>
      </c>
      <c r="G28" s="299" t="s">
        <v>30</v>
      </c>
      <c r="H28" s="299" t="s">
        <v>30</v>
      </c>
      <c r="I28" s="261">
        <f>I30+I31+I32</f>
        <v>178699.296</v>
      </c>
      <c r="J28" s="261">
        <f t="shared" ref="J28:K28" si="5">J30+J31+J32</f>
        <v>178699.296</v>
      </c>
      <c r="K28" s="261">
        <f t="shared" si="5"/>
        <v>178699.296</v>
      </c>
      <c r="L28" s="261">
        <f>L30+L31+L32</f>
        <v>536097.88799999992</v>
      </c>
    </row>
    <row r="29" spans="1:12" x14ac:dyDescent="0.25">
      <c r="A29" s="408"/>
      <c r="B29" s="409"/>
      <c r="C29" s="409"/>
      <c r="D29" s="300" t="s">
        <v>31</v>
      </c>
      <c r="E29" s="299"/>
      <c r="F29" s="299" t="s">
        <v>30</v>
      </c>
      <c r="G29" s="299" t="s">
        <v>30</v>
      </c>
      <c r="H29" s="299" t="s">
        <v>30</v>
      </c>
      <c r="I29" s="261"/>
      <c r="J29" s="261"/>
      <c r="K29" s="261"/>
      <c r="L29" s="261">
        <f t="shared" si="1"/>
        <v>0</v>
      </c>
    </row>
    <row r="30" spans="1:12" ht="31.5" x14ac:dyDescent="0.25">
      <c r="A30" s="408"/>
      <c r="B30" s="409"/>
      <c r="C30" s="409"/>
      <c r="D30" s="300" t="s">
        <v>65</v>
      </c>
      <c r="E30" s="299">
        <f>E20</f>
        <v>241</v>
      </c>
      <c r="F30" s="299" t="s">
        <v>30</v>
      </c>
      <c r="G30" s="299" t="s">
        <v>30</v>
      </c>
      <c r="H30" s="299" t="s">
        <v>30</v>
      </c>
      <c r="I30" s="261">
        <f>'[1]пр к ПП2'!H17+'[1]пр к ПП2'!H19+'[1]пр к ПП2'!H21+'[1]пр к ПП2'!H29+'[1]пр к ПП2'!H32+'[1]пр к ПП2'!H35+'[1]пр к ПП2'!H41+'[1]пр к ПП2'!H38</f>
        <v>178699.296</v>
      </c>
      <c r="J30" s="261">
        <f>'[1]пр к ПП2'!I17+'[1]пр к ПП2'!I19+'[1]пр к ПП2'!I21+'[1]пр к ПП2'!I29+'[1]пр к ПП2'!I32+'[1]пр к ПП2'!I35+'[1]пр к ПП2'!I41+'[1]пр к ПП2'!I38</f>
        <v>178699.296</v>
      </c>
      <c r="K30" s="261">
        <f>'[1]пр к ПП2'!J17+'[1]пр к ПП2'!J19+'[1]пр к ПП2'!J21+'[1]пр к ПП2'!J29+'[1]пр к ПП2'!J32+'[1]пр к ПП2'!J35+'[1]пр к ПП2'!J41+'[1]пр к ПП2'!J38</f>
        <v>178699.296</v>
      </c>
      <c r="L30" s="261">
        <f>'[1]пр к ПП2'!K16+'[1]пр к ПП2'!K18+'[1]пр к ПП2'!K28+'[1]пр к ПП2'!K31+'[1]пр к ПП2'!K34+'[1]пр к ПП2'!H40+'[1]пр к ПП2'!K38</f>
        <v>536097.88799999992</v>
      </c>
    </row>
    <row r="31" spans="1:12" ht="47.25" x14ac:dyDescent="0.25">
      <c r="A31" s="408"/>
      <c r="B31" s="409"/>
      <c r="C31" s="409"/>
      <c r="D31" s="300" t="s">
        <v>95</v>
      </c>
      <c r="E31" s="301">
        <f>E21</f>
        <v>242</v>
      </c>
      <c r="F31" s="299" t="s">
        <v>30</v>
      </c>
      <c r="G31" s="299" t="s">
        <v>30</v>
      </c>
      <c r="H31" s="299" t="s">
        <v>30</v>
      </c>
      <c r="I31" s="261">
        <f>'[1]пр к ПП2'!H23</f>
        <v>0</v>
      </c>
      <c r="J31" s="261">
        <f>'[1]пр к ПП2'!I23</f>
        <v>0</v>
      </c>
      <c r="K31" s="261">
        <f>'[1]пр к ПП2'!J23</f>
        <v>0</v>
      </c>
      <c r="L31" s="261">
        <f>SUM(I31:K31)</f>
        <v>0</v>
      </c>
    </row>
    <row r="32" spans="1:12" ht="63" x14ac:dyDescent="0.25">
      <c r="A32" s="408"/>
      <c r="B32" s="409"/>
      <c r="C32" s="409"/>
      <c r="D32" s="300" t="s">
        <v>66</v>
      </c>
      <c r="E32" s="299">
        <f>E27</f>
        <v>247</v>
      </c>
      <c r="F32" s="299" t="s">
        <v>30</v>
      </c>
      <c r="G32" s="299" t="s">
        <v>30</v>
      </c>
      <c r="H32" s="299" t="s">
        <v>30</v>
      </c>
      <c r="I32" s="261">
        <f>'[1]пр к ПП2'!H25</f>
        <v>0</v>
      </c>
      <c r="J32" s="261">
        <f>'[1]пр к ПП2'!I25</f>
        <v>0</v>
      </c>
      <c r="K32" s="261">
        <f>'[1]пр к ПП2'!J25</f>
        <v>0</v>
      </c>
      <c r="L32" s="261">
        <f t="shared" ref="L32" si="6">SUM(I32:K32)</f>
        <v>0</v>
      </c>
    </row>
    <row r="33" spans="1:12" ht="31.5" customHeight="1" x14ac:dyDescent="0.25">
      <c r="A33" s="408" t="s">
        <v>86</v>
      </c>
      <c r="B33" s="409" t="s">
        <v>92</v>
      </c>
      <c r="C33" s="409" t="s">
        <v>99</v>
      </c>
      <c r="D33" s="300" t="s">
        <v>32</v>
      </c>
      <c r="E33" s="299"/>
      <c r="F33" s="299" t="s">
        <v>30</v>
      </c>
      <c r="G33" s="299" t="s">
        <v>30</v>
      </c>
      <c r="H33" s="299" t="s">
        <v>30</v>
      </c>
      <c r="I33" s="261">
        <f>'[1]пр к ПП3'!H24</f>
        <v>178.6</v>
      </c>
      <c r="J33" s="261">
        <f>'[1]пр к ПП3'!I24</f>
        <v>178.6</v>
      </c>
      <c r="K33" s="261">
        <f>'[1]пр к ПП3'!J24</f>
        <v>178.6</v>
      </c>
      <c r="L33" s="261">
        <f>'[1]пр к ПП3'!K24</f>
        <v>535.79999999999995</v>
      </c>
    </row>
    <row r="34" spans="1:12" x14ac:dyDescent="0.25">
      <c r="A34" s="408"/>
      <c r="B34" s="409"/>
      <c r="C34" s="409"/>
      <c r="D34" s="300" t="s">
        <v>31</v>
      </c>
      <c r="E34" s="299"/>
      <c r="F34" s="299" t="s">
        <v>30</v>
      </c>
      <c r="G34" s="299" t="s">
        <v>30</v>
      </c>
      <c r="H34" s="299" t="s">
        <v>30</v>
      </c>
      <c r="I34" s="261"/>
      <c r="J34" s="261"/>
      <c r="K34" s="261"/>
      <c r="L34" s="261">
        <f t="shared" si="1"/>
        <v>0</v>
      </c>
    </row>
    <row r="35" spans="1:12" ht="63" x14ac:dyDescent="0.25">
      <c r="A35" s="408"/>
      <c r="B35" s="409"/>
      <c r="C35" s="409"/>
      <c r="D35" s="300" t="s">
        <v>66</v>
      </c>
      <c r="E35" s="299">
        <f>E22</f>
        <v>247</v>
      </c>
      <c r="F35" s="299" t="s">
        <v>30</v>
      </c>
      <c r="G35" s="299" t="s">
        <v>30</v>
      </c>
      <c r="H35" s="299" t="s">
        <v>30</v>
      </c>
      <c r="I35" s="261">
        <f>'[1]пр к ПП3'!H17+'[1]пр к ПП3'!H19+'[1]пр к ПП3'!H23</f>
        <v>178.6</v>
      </c>
      <c r="J35" s="261">
        <f>'[1]пр к ПП3'!I17+'[1]пр к ПП3'!I19+'[1]пр к ПП3'!I23</f>
        <v>178.6</v>
      </c>
      <c r="K35" s="261">
        <f>'[1]пр к ПП3'!J17+'[1]пр к ПП3'!J19+'[1]пр к ПП3'!J23</f>
        <v>178.6</v>
      </c>
      <c r="L35" s="261">
        <f>'[1]пр к ПП3'!K17+'[1]пр к ПП3'!K19+'[1]пр к ПП3'!K23</f>
        <v>535.79999999999995</v>
      </c>
    </row>
    <row r="36" spans="1:12" ht="47.25" x14ac:dyDescent="0.25">
      <c r="A36" s="408"/>
      <c r="B36" s="409"/>
      <c r="C36" s="409"/>
      <c r="D36" s="300" t="s">
        <v>217</v>
      </c>
      <c r="E36" s="301">
        <f>E23</f>
        <v>243</v>
      </c>
      <c r="F36" s="299" t="s">
        <v>30</v>
      </c>
      <c r="G36" s="299" t="s">
        <v>30</v>
      </c>
      <c r="H36" s="299" t="s">
        <v>30</v>
      </c>
      <c r="I36" s="261">
        <f>'[1]пр к ПП3'!H15+'[1]пр к ПП3'!H16</f>
        <v>0</v>
      </c>
      <c r="J36" s="261">
        <f>'[1]пр к ПП3'!I15+'[1]пр к ПП3'!I16</f>
        <v>0</v>
      </c>
      <c r="K36" s="261">
        <f>'[1]пр к ПП3'!J15+'[1]пр к ПП3'!J16</f>
        <v>0</v>
      </c>
      <c r="L36" s="261">
        <f>SUM(I36:K36)</f>
        <v>0</v>
      </c>
    </row>
    <row r="37" spans="1:12" ht="31.5" customHeight="1" x14ac:dyDescent="0.25">
      <c r="A37" s="408" t="s">
        <v>87</v>
      </c>
      <c r="B37" s="409" t="s">
        <v>93</v>
      </c>
      <c r="C37" s="409" t="s">
        <v>162</v>
      </c>
      <c r="D37" s="300" t="s">
        <v>32</v>
      </c>
      <c r="E37" s="299"/>
      <c r="F37" s="299" t="s">
        <v>30</v>
      </c>
      <c r="G37" s="299" t="s">
        <v>30</v>
      </c>
      <c r="H37" s="299" t="s">
        <v>30</v>
      </c>
      <c r="I37" s="261">
        <f>I39+I40</f>
        <v>12334.864</v>
      </c>
      <c r="J37" s="261">
        <f t="shared" ref="J37:L37" si="7">J39+J40</f>
        <v>10600</v>
      </c>
      <c r="K37" s="261">
        <f t="shared" si="7"/>
        <v>10600</v>
      </c>
      <c r="L37" s="261">
        <f t="shared" si="7"/>
        <v>33534.864000000001</v>
      </c>
    </row>
    <row r="38" spans="1:12" x14ac:dyDescent="0.25">
      <c r="A38" s="408"/>
      <c r="B38" s="409"/>
      <c r="C38" s="409"/>
      <c r="D38" s="300" t="s">
        <v>31</v>
      </c>
      <c r="E38" s="299"/>
      <c r="F38" s="299" t="s">
        <v>30</v>
      </c>
      <c r="G38" s="299" t="s">
        <v>30</v>
      </c>
      <c r="H38" s="299" t="s">
        <v>30</v>
      </c>
      <c r="I38" s="261"/>
      <c r="J38" s="261"/>
      <c r="K38" s="261"/>
      <c r="L38" s="261">
        <f t="shared" si="1"/>
        <v>0</v>
      </c>
    </row>
    <row r="39" spans="1:12" ht="31.5" x14ac:dyDescent="0.25">
      <c r="A39" s="408"/>
      <c r="B39" s="409"/>
      <c r="C39" s="409"/>
      <c r="D39" s="300" t="s">
        <v>65</v>
      </c>
      <c r="E39" s="299">
        <f>E30</f>
        <v>241</v>
      </c>
      <c r="F39" s="299" t="s">
        <v>30</v>
      </c>
      <c r="G39" s="299" t="s">
        <v>30</v>
      </c>
      <c r="H39" s="299" t="s">
        <v>30</v>
      </c>
      <c r="I39" s="261">
        <f>'[1]пр к ПП4'!H15</f>
        <v>10600</v>
      </c>
      <c r="J39" s="261">
        <f>'[1]пр к ПП4'!I15</f>
        <v>10600</v>
      </c>
      <c r="K39" s="261">
        <f>'[1]пр к ПП4'!J15</f>
        <v>10600</v>
      </c>
      <c r="L39" s="261">
        <f>'[1]пр к ПП4'!K15</f>
        <v>31800</v>
      </c>
    </row>
    <row r="40" spans="1:12" ht="47.25" x14ac:dyDescent="0.25">
      <c r="A40" s="408"/>
      <c r="B40" s="409"/>
      <c r="C40" s="409"/>
      <c r="D40" s="300" t="s">
        <v>95</v>
      </c>
      <c r="E40" s="299">
        <f>E31</f>
        <v>242</v>
      </c>
      <c r="F40" s="299" t="s">
        <v>30</v>
      </c>
      <c r="G40" s="299" t="s">
        <v>30</v>
      </c>
      <c r="H40" s="299" t="s">
        <v>30</v>
      </c>
      <c r="I40" s="261">
        <f>'[1]пр к ПП4'!H19</f>
        <v>1734.864</v>
      </c>
      <c r="J40" s="261">
        <f>'[1]пр к ПП4'!I19</f>
        <v>0</v>
      </c>
      <c r="K40" s="261">
        <f>'[1]пр к ПП4'!J19</f>
        <v>0</v>
      </c>
      <c r="L40" s="261">
        <f>'[1]пр к ПП4'!K19</f>
        <v>1734.864</v>
      </c>
    </row>
    <row r="48" spans="1:12" x14ac:dyDescent="0.25">
      <c r="B48" s="1" t="s">
        <v>230</v>
      </c>
    </row>
    <row r="49" spans="2:12" x14ac:dyDescent="0.25">
      <c r="B49" s="1" t="s">
        <v>231</v>
      </c>
      <c r="I49" s="1" t="b">
        <f>I24='[1]пр к ПП1'!H35</f>
        <v>1</v>
      </c>
      <c r="J49" s="1" t="b">
        <f>J24='[1]пр к ПП1'!I35</f>
        <v>1</v>
      </c>
      <c r="K49" s="1" t="b">
        <f>K24='[1]пр к ПП1'!J35</f>
        <v>1</v>
      </c>
      <c r="L49" s="1" t="b">
        <f>L24='[1]пр к ПП1'!K35</f>
        <v>1</v>
      </c>
    </row>
    <row r="50" spans="2:12" x14ac:dyDescent="0.25">
      <c r="B50" s="1" t="s">
        <v>232</v>
      </c>
      <c r="I50" s="1" t="b">
        <f>I28='[1]пр к ПП2'!H42</f>
        <v>1</v>
      </c>
      <c r="J50" s="1" t="b">
        <f>J28='[1]пр к ПП2'!I42</f>
        <v>1</v>
      </c>
      <c r="K50" s="1" t="b">
        <f>K28='[1]пр к ПП2'!J42</f>
        <v>1</v>
      </c>
      <c r="L50" s="1" t="b">
        <f>L28='[1]пр к ПП2'!K42</f>
        <v>1</v>
      </c>
    </row>
    <row r="51" spans="2:12" x14ac:dyDescent="0.25">
      <c r="B51" s="1" t="s">
        <v>233</v>
      </c>
      <c r="I51" s="1" t="b">
        <f>I33='[1]пр к ПП3'!H24</f>
        <v>1</v>
      </c>
      <c r="J51" s="1" t="b">
        <f>J33='[1]пр к ПП3'!I24</f>
        <v>1</v>
      </c>
      <c r="K51" s="1" t="b">
        <f>K33='[1]пр к ПП3'!J24</f>
        <v>1</v>
      </c>
      <c r="L51" s="1" t="b">
        <f>L33='[1]пр к ПП3'!K24</f>
        <v>1</v>
      </c>
    </row>
    <row r="52" spans="2:12" x14ac:dyDescent="0.25">
      <c r="B52" s="1" t="s">
        <v>234</v>
      </c>
      <c r="I52" s="1" t="b">
        <f>I37='[1]пр к ПП4'!H20</f>
        <v>1</v>
      </c>
      <c r="J52" s="1" t="b">
        <f>J37='[1]пр к ПП4'!I20</f>
        <v>1</v>
      </c>
      <c r="K52" s="1" t="b">
        <f>K37='[1]пр к ПП4'!J20</f>
        <v>1</v>
      </c>
      <c r="L52" s="1" t="b">
        <f>L37='[1]пр к ПП4'!K20</f>
        <v>1</v>
      </c>
    </row>
    <row r="55" spans="2:12" x14ac:dyDescent="0.25">
      <c r="B55" s="1" t="s">
        <v>231</v>
      </c>
      <c r="I55" s="123">
        <f>I24-'[1]пр к ПП1'!H35</f>
        <v>0</v>
      </c>
      <c r="J55" s="123">
        <f>J24-'[1]пр к ПП1'!I35</f>
        <v>0</v>
      </c>
      <c r="K55" s="123">
        <f>K24-'[1]пр к ПП1'!J35</f>
        <v>0</v>
      </c>
      <c r="L55" s="123">
        <f>L24-'[1]пр к ПП1'!K35</f>
        <v>0</v>
      </c>
    </row>
    <row r="56" spans="2:12" x14ac:dyDescent="0.25">
      <c r="B56" s="1" t="s">
        <v>232</v>
      </c>
      <c r="I56" s="123">
        <f>I28-'[1]пр к ПП2'!H42</f>
        <v>0</v>
      </c>
      <c r="J56" s="123">
        <f>J28-'[1]пр к ПП2'!I42</f>
        <v>0</v>
      </c>
      <c r="K56" s="123">
        <f>K28-'[1]пр к ПП2'!J42</f>
        <v>0</v>
      </c>
      <c r="L56" s="123">
        <f>L28-'[1]пр к ПП2'!K42</f>
        <v>0</v>
      </c>
    </row>
    <row r="57" spans="2:12" x14ac:dyDescent="0.25">
      <c r="B57" s="1" t="s">
        <v>233</v>
      </c>
      <c r="I57" s="123">
        <f>I33-'[1]пр к ПП3'!H24</f>
        <v>0</v>
      </c>
      <c r="J57" s="123">
        <f>J33-'[1]пр к ПП3'!I24</f>
        <v>0</v>
      </c>
      <c r="K57" s="123">
        <f>K33-'[1]пр к ПП3'!J24</f>
        <v>0</v>
      </c>
      <c r="L57" s="123">
        <f>L33-'[1]пр к ПП3'!K24</f>
        <v>0</v>
      </c>
    </row>
    <row r="58" spans="2:12" x14ac:dyDescent="0.25">
      <c r="B58" s="1" t="s">
        <v>234</v>
      </c>
      <c r="I58" s="123">
        <f>I37-'[1]пр к ПП4'!H20</f>
        <v>0</v>
      </c>
      <c r="J58" s="123">
        <f>J37-'[1]пр к ПП4'!I20</f>
        <v>0</v>
      </c>
      <c r="K58" s="123">
        <f>K37-'[1]пр к ПП4'!J20</f>
        <v>0</v>
      </c>
      <c r="L58" s="123">
        <f>L37-'[1]пр к ПП4'!K20</f>
        <v>0</v>
      </c>
    </row>
  </sheetData>
  <mergeCells count="28">
    <mergeCell ref="A37:A40"/>
    <mergeCell ref="B37:B40"/>
    <mergeCell ref="C37:C40"/>
    <mergeCell ref="A28:A32"/>
    <mergeCell ref="B28:B32"/>
    <mergeCell ref="C28:C32"/>
    <mergeCell ref="A33:A36"/>
    <mergeCell ref="B33:B36"/>
    <mergeCell ref="C33:C36"/>
    <mergeCell ref="A18:A23"/>
    <mergeCell ref="B18:B23"/>
    <mergeCell ref="C18:C23"/>
    <mergeCell ref="A24:A27"/>
    <mergeCell ref="B24:B27"/>
    <mergeCell ref="C24:C27"/>
    <mergeCell ref="A12:L12"/>
    <mergeCell ref="A15:A16"/>
    <mergeCell ref="B15:B16"/>
    <mergeCell ref="C15:C16"/>
    <mergeCell ref="D15:D16"/>
    <mergeCell ref="E15:H15"/>
    <mergeCell ref="L15:L16"/>
    <mergeCell ref="A11:L11"/>
    <mergeCell ref="J1:L1"/>
    <mergeCell ref="J4:L4"/>
    <mergeCell ref="J6:L6"/>
    <mergeCell ref="A9:L9"/>
    <mergeCell ref="A10:L10"/>
  </mergeCells>
  <pageMargins left="0.7" right="0.7" top="0.75" bottom="0.75" header="0.3" footer="0.3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workbookViewId="0">
      <selection activeCell="L4" sqref="L4:O4"/>
    </sheetView>
  </sheetViews>
  <sheetFormatPr defaultColWidth="9" defaultRowHeight="18.75" outlineLevelCol="1" x14ac:dyDescent="0.3"/>
  <cols>
    <col min="1" max="1" width="5.375" style="19" customWidth="1"/>
    <col min="2" max="2" width="24.375" style="6" customWidth="1"/>
    <col min="3" max="3" width="25" style="6" customWidth="1"/>
    <col min="4" max="4" width="27.5" style="6" customWidth="1"/>
    <col min="5" max="5" width="17.25" style="41" hidden="1" customWidth="1" outlineLevel="1"/>
    <col min="6" max="8" width="14.25" style="41" hidden="1" customWidth="1" outlineLevel="1"/>
    <col min="9" max="11" width="14.625" style="41" hidden="1" customWidth="1" outlineLevel="1"/>
    <col min="12" max="12" width="18.5" style="6" customWidth="1" collapsed="1"/>
    <col min="13" max="14" width="15.625" style="6" customWidth="1"/>
    <col min="15" max="15" width="17" style="6" customWidth="1"/>
    <col min="16" max="16" width="14.875" style="6" hidden="1" customWidth="1" outlineLevel="1"/>
    <col min="17" max="17" width="17.875" style="77" hidden="1" customWidth="1" outlineLevel="1"/>
    <col min="18" max="18" width="1.375" style="6" customWidth="1" outlineLevel="1"/>
    <col min="19" max="19" width="12.5" style="6" bestFit="1" customWidth="1"/>
    <col min="20" max="20" width="16.875" style="6" customWidth="1"/>
    <col min="21" max="21" width="11.375" style="6" bestFit="1" customWidth="1"/>
    <col min="22" max="24" width="9" style="6"/>
    <col min="25" max="25" width="11.375" style="6" bestFit="1" customWidth="1"/>
    <col min="26" max="16384" width="9" style="6"/>
  </cols>
  <sheetData>
    <row r="1" spans="1:18" x14ac:dyDescent="0.3">
      <c r="L1" s="355"/>
      <c r="M1" s="355"/>
      <c r="N1" s="355"/>
      <c r="O1" s="355"/>
    </row>
    <row r="2" spans="1:18" ht="3" customHeight="1" x14ac:dyDescent="0.3"/>
    <row r="3" spans="1:18" hidden="1" x14ac:dyDescent="0.3"/>
    <row r="4" spans="1:18" ht="75.75" customHeight="1" x14ac:dyDescent="0.3">
      <c r="A4" s="4"/>
      <c r="B4" s="1"/>
      <c r="C4" s="1"/>
      <c r="D4" s="1"/>
      <c r="E4" s="38"/>
      <c r="F4" s="38"/>
      <c r="G4" s="38"/>
      <c r="H4" s="38"/>
      <c r="I4" s="38"/>
      <c r="J4" s="38"/>
      <c r="K4" s="38"/>
      <c r="L4" s="442" t="s">
        <v>328</v>
      </c>
      <c r="M4" s="442"/>
      <c r="N4" s="442"/>
      <c r="O4" s="442"/>
      <c r="P4" s="1"/>
      <c r="Q4" s="309"/>
      <c r="R4" s="1"/>
    </row>
    <row r="5" spans="1:18" x14ac:dyDescent="0.3">
      <c r="A5" s="4"/>
      <c r="B5" s="1"/>
      <c r="C5" s="1"/>
      <c r="D5" s="1"/>
      <c r="E5" s="38"/>
      <c r="F5" s="38"/>
      <c r="G5" s="38"/>
      <c r="H5" s="38"/>
      <c r="I5" s="38"/>
      <c r="J5" s="38"/>
      <c r="K5" s="38"/>
      <c r="L5" s="310" t="s">
        <v>165</v>
      </c>
      <c r="M5" s="1"/>
      <c r="N5" s="1"/>
      <c r="O5" s="1"/>
      <c r="P5" s="1"/>
      <c r="Q5" s="309"/>
      <c r="R5" s="1"/>
    </row>
    <row r="6" spans="1:18" ht="36.75" customHeight="1" x14ac:dyDescent="0.3">
      <c r="A6" s="4"/>
      <c r="B6" s="1"/>
      <c r="C6" s="1"/>
      <c r="D6" s="1"/>
      <c r="E6" s="38"/>
      <c r="F6" s="38"/>
      <c r="G6" s="38"/>
      <c r="H6" s="38"/>
      <c r="I6" s="38"/>
      <c r="J6" s="38"/>
      <c r="K6" s="38"/>
      <c r="L6" s="441" t="str">
        <f>CONCATENATE("к муниципальной программе Туруханского района """,'[1]Приложение 2'!C18,"""")</f>
        <v>к муниципальной программе Туруханского района "Развитие транспортной системы и связи Туруханского района"</v>
      </c>
      <c r="M6" s="441"/>
      <c r="N6" s="441"/>
      <c r="O6" s="441"/>
      <c r="P6" s="441"/>
      <c r="Q6" s="441"/>
      <c r="R6" s="441"/>
    </row>
    <row r="7" spans="1:18" x14ac:dyDescent="0.3">
      <c r="A7" s="311"/>
      <c r="B7" s="1"/>
      <c r="C7" s="1"/>
      <c r="D7" s="1"/>
      <c r="E7" s="38"/>
      <c r="F7" s="38"/>
      <c r="G7" s="38"/>
      <c r="H7" s="38"/>
      <c r="I7" s="38"/>
      <c r="J7" s="38"/>
      <c r="K7" s="38"/>
      <c r="L7" s="1"/>
      <c r="M7" s="1"/>
      <c r="N7" s="1"/>
      <c r="O7" s="1"/>
      <c r="P7" s="1"/>
      <c r="Q7" s="309"/>
      <c r="R7" s="1"/>
    </row>
    <row r="8" spans="1:18" x14ac:dyDescent="0.3">
      <c r="A8" s="311"/>
      <c r="B8" s="1"/>
      <c r="C8" s="1"/>
      <c r="D8" s="1"/>
      <c r="E8" s="38"/>
      <c r="F8" s="38"/>
      <c r="G8" s="38"/>
      <c r="H8" s="38"/>
      <c r="I8" s="38"/>
      <c r="J8" s="38"/>
      <c r="K8" s="38"/>
      <c r="L8" s="1"/>
      <c r="M8" s="1"/>
      <c r="N8" s="1"/>
      <c r="O8" s="1"/>
      <c r="P8" s="1"/>
      <c r="Q8" s="309"/>
      <c r="R8" s="1"/>
    </row>
    <row r="9" spans="1:18" x14ac:dyDescent="0.3">
      <c r="A9" s="440" t="s">
        <v>0</v>
      </c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1"/>
      <c r="Q9" s="309"/>
      <c r="R9" s="1"/>
    </row>
    <row r="10" spans="1:18" x14ac:dyDescent="0.3">
      <c r="A10" s="440" t="s">
        <v>41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1"/>
      <c r="Q10" s="309"/>
      <c r="R10" s="1"/>
    </row>
    <row r="11" spans="1:18" x14ac:dyDescent="0.3">
      <c r="A11" s="440" t="s">
        <v>42</v>
      </c>
      <c r="B11" s="440"/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1"/>
      <c r="Q11" s="309"/>
      <c r="R11" s="1"/>
    </row>
    <row r="12" spans="1:18" x14ac:dyDescent="0.3">
      <c r="A12" s="440" t="s">
        <v>43</v>
      </c>
      <c r="B12" s="440"/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40"/>
      <c r="O12" s="440"/>
      <c r="P12" s="1"/>
      <c r="Q12" s="309"/>
      <c r="R12" s="1"/>
    </row>
    <row r="13" spans="1:18" x14ac:dyDescent="0.3">
      <c r="A13" s="440" t="s">
        <v>44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440"/>
      <c r="N13" s="440"/>
      <c r="O13" s="440"/>
      <c r="P13" s="1"/>
      <c r="Q13" s="309"/>
      <c r="R13" s="1"/>
    </row>
    <row r="14" spans="1:18" x14ac:dyDescent="0.3">
      <c r="A14" s="440" t="s">
        <v>45</v>
      </c>
      <c r="B14" s="440"/>
      <c r="C14" s="440"/>
      <c r="D14" s="440"/>
      <c r="E14" s="440"/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1"/>
      <c r="Q14" s="309"/>
      <c r="R14" s="1"/>
    </row>
    <row r="15" spans="1:18" x14ac:dyDescent="0.3">
      <c r="A15" s="311"/>
      <c r="B15" s="1"/>
      <c r="C15" s="1"/>
      <c r="D15" s="1"/>
      <c r="E15" s="38"/>
      <c r="F15" s="38"/>
      <c r="G15" s="38"/>
      <c r="H15" s="38"/>
      <c r="I15" s="38"/>
      <c r="J15" s="38"/>
      <c r="K15" s="38"/>
      <c r="L15" s="1"/>
      <c r="M15" s="1"/>
      <c r="N15" s="1"/>
      <c r="O15" s="1"/>
      <c r="P15" s="1"/>
      <c r="Q15" s="309"/>
      <c r="R15" s="1"/>
    </row>
    <row r="16" spans="1:18" x14ac:dyDescent="0.3">
      <c r="A16" s="4"/>
      <c r="B16" s="1"/>
      <c r="C16" s="1"/>
      <c r="D16" s="1"/>
      <c r="E16" s="38"/>
      <c r="F16" s="38"/>
      <c r="G16" s="38"/>
      <c r="H16" s="38"/>
      <c r="I16" s="38"/>
      <c r="J16" s="38"/>
      <c r="K16" s="38"/>
      <c r="L16" s="1"/>
      <c r="M16" s="1"/>
      <c r="N16" s="1"/>
      <c r="O16" s="312" t="s">
        <v>211</v>
      </c>
      <c r="P16" s="1"/>
      <c r="Q16" s="309"/>
      <c r="R16" s="1"/>
    </row>
    <row r="17" spans="1:21" ht="26.25" customHeight="1" x14ac:dyDescent="0.3">
      <c r="A17" s="330" t="s">
        <v>19</v>
      </c>
      <c r="B17" s="330" t="s">
        <v>33</v>
      </c>
      <c r="C17" s="330" t="s">
        <v>34</v>
      </c>
      <c r="D17" s="330" t="s">
        <v>38</v>
      </c>
      <c r="E17" s="36">
        <v>2014</v>
      </c>
      <c r="F17" s="36">
        <v>2015</v>
      </c>
      <c r="G17" s="36">
        <v>2016</v>
      </c>
      <c r="H17" s="36">
        <v>2017</v>
      </c>
      <c r="I17" s="36" t="s">
        <v>54</v>
      </c>
      <c r="J17" s="36" t="s">
        <v>55</v>
      </c>
      <c r="K17" s="36" t="s">
        <v>58</v>
      </c>
      <c r="L17" s="304">
        <v>2022</v>
      </c>
      <c r="M17" s="304">
        <v>2023</v>
      </c>
      <c r="N17" s="304">
        <v>2024</v>
      </c>
      <c r="O17" s="330" t="s">
        <v>24</v>
      </c>
      <c r="P17" s="1"/>
      <c r="Q17" s="309"/>
      <c r="R17" s="1"/>
    </row>
    <row r="18" spans="1:21" ht="38.25" customHeight="1" x14ac:dyDescent="0.3">
      <c r="A18" s="330"/>
      <c r="B18" s="330"/>
      <c r="C18" s="330"/>
      <c r="D18" s="330"/>
      <c r="E18" s="36"/>
      <c r="F18" s="36"/>
      <c r="G18" s="36"/>
      <c r="H18" s="36"/>
      <c r="I18" s="36"/>
      <c r="J18" s="36" t="s">
        <v>29</v>
      </c>
      <c r="K18" s="36"/>
      <c r="L18" s="304" t="s">
        <v>29</v>
      </c>
      <c r="M18" s="304" t="s">
        <v>29</v>
      </c>
      <c r="N18" s="304" t="s">
        <v>29</v>
      </c>
      <c r="O18" s="330"/>
      <c r="P18" s="1"/>
      <c r="Q18" s="309"/>
      <c r="R18" s="1"/>
    </row>
    <row r="19" spans="1:21" x14ac:dyDescent="0.3">
      <c r="A19" s="304">
        <v>1</v>
      </c>
      <c r="B19" s="304">
        <v>2</v>
      </c>
      <c r="C19" s="304">
        <v>3</v>
      </c>
      <c r="D19" s="304">
        <v>4</v>
      </c>
      <c r="E19" s="36"/>
      <c r="F19" s="36"/>
      <c r="G19" s="36"/>
      <c r="H19" s="36"/>
      <c r="I19" s="36">
        <v>5</v>
      </c>
      <c r="J19" s="36">
        <v>6</v>
      </c>
      <c r="K19" s="36"/>
      <c r="L19" s="304">
        <v>6</v>
      </c>
      <c r="M19" s="304">
        <v>7</v>
      </c>
      <c r="N19" s="304">
        <v>7</v>
      </c>
      <c r="O19" s="304">
        <v>8</v>
      </c>
      <c r="P19" s="1"/>
      <c r="Q19" s="309"/>
      <c r="R19" s="1"/>
      <c r="T19" s="6">
        <f>1650830+19900000+27398600+13967500+1084171.92+2238755+15248371+400000+79920</f>
        <v>81968147.920000002</v>
      </c>
    </row>
    <row r="20" spans="1:21" x14ac:dyDescent="0.3">
      <c r="A20" s="408">
        <v>1</v>
      </c>
      <c r="B20" s="414" t="s">
        <v>39</v>
      </c>
      <c r="C20" s="414" t="str">
        <f>'[1]Приложение 2'!C18</f>
        <v>Развитие транспортной системы и связи Туруханского района</v>
      </c>
      <c r="D20" s="313" t="s">
        <v>37</v>
      </c>
      <c r="E20" s="314">
        <f>E27+E34+E41+E48</f>
        <v>165376.84903000001</v>
      </c>
      <c r="F20" s="314">
        <f t="shared" ref="F20" si="0">F27+F34+F41+F48</f>
        <v>132504.82329</v>
      </c>
      <c r="G20" s="314">
        <f>G27+G34+G41+G48</f>
        <v>168993.47096999999</v>
      </c>
      <c r="H20" s="314">
        <f>H27+H34+H41+H48</f>
        <v>155455.69513999997</v>
      </c>
      <c r="I20" s="314">
        <f>I27+I34+I41+I48</f>
        <v>165993.04453999997</v>
      </c>
      <c r="J20" s="314">
        <f t="shared" ref="J20" si="1">J27+J34+J41+J48</f>
        <v>190229.62046000001</v>
      </c>
      <c r="K20" s="314">
        <f>K27+K34+K41+K48</f>
        <v>239026.731</v>
      </c>
      <c r="L20" s="315">
        <f>L22+L23+L24+L25+L26</f>
        <v>263486.64499999996</v>
      </c>
      <c r="M20" s="315">
        <f>M22+M23+M24+M25+M26</f>
        <v>259751.78099999999</v>
      </c>
      <c r="N20" s="315">
        <f t="shared" ref="N20:O20" si="2">N22+N23+N24+N25+N26</f>
        <v>259751.78099999999</v>
      </c>
      <c r="O20" s="315">
        <f t="shared" si="2"/>
        <v>782990.20699999994</v>
      </c>
      <c r="P20" s="316">
        <f>O20-'[1]Приложение 2'!L18</f>
        <v>0</v>
      </c>
      <c r="Q20" s="317">
        <f>SUM(E20:N20)</f>
        <v>2000570.4414299999</v>
      </c>
      <c r="R20" s="1" t="b">
        <f>SUM(Q22:Q26)=Q20</f>
        <v>1</v>
      </c>
      <c r="T20" s="226">
        <f>T19/1000</f>
        <v>81968.147920000003</v>
      </c>
    </row>
    <row r="21" spans="1:21" x14ac:dyDescent="0.3">
      <c r="A21" s="408"/>
      <c r="B21" s="414"/>
      <c r="C21" s="414"/>
      <c r="D21" s="305" t="s">
        <v>20</v>
      </c>
      <c r="E21" s="84"/>
      <c r="F21" s="84"/>
      <c r="G21" s="84"/>
      <c r="H21" s="84"/>
      <c r="I21" s="84"/>
      <c r="J21" s="84"/>
      <c r="K21" s="84"/>
      <c r="L21" s="318"/>
      <c r="M21" s="318"/>
      <c r="N21" s="318"/>
      <c r="O21" s="318"/>
      <c r="P21" s="316"/>
      <c r="Q21" s="317"/>
      <c r="R21" s="1"/>
      <c r="T21" s="227"/>
    </row>
    <row r="22" spans="1:21" x14ac:dyDescent="0.3">
      <c r="A22" s="408"/>
      <c r="B22" s="414"/>
      <c r="C22" s="414"/>
      <c r="D22" s="7" t="s">
        <v>100</v>
      </c>
      <c r="E22" s="84">
        <f t="shared" ref="E22:N26" si="3">E29+E36+E43+E50</f>
        <v>0</v>
      </c>
      <c r="F22" s="84">
        <f t="shared" si="3"/>
        <v>0</v>
      </c>
      <c r="G22" s="84">
        <f t="shared" si="3"/>
        <v>0</v>
      </c>
      <c r="H22" s="84">
        <f t="shared" si="3"/>
        <v>0</v>
      </c>
      <c r="I22" s="84">
        <f t="shared" si="3"/>
        <v>0</v>
      </c>
      <c r="J22" s="84">
        <f t="shared" si="3"/>
        <v>0</v>
      </c>
      <c r="K22" s="84">
        <f t="shared" si="3"/>
        <v>0</v>
      </c>
      <c r="L22" s="318">
        <f t="shared" si="3"/>
        <v>0</v>
      </c>
      <c r="M22" s="318">
        <f t="shared" si="3"/>
        <v>0</v>
      </c>
      <c r="N22" s="318">
        <f t="shared" si="3"/>
        <v>0</v>
      </c>
      <c r="O22" s="318">
        <f>SUM(L22:N22)</f>
        <v>0</v>
      </c>
      <c r="P22" s="316"/>
      <c r="Q22" s="317">
        <f t="shared" ref="Q22:Q54" si="4">SUM(E22:N22)</f>
        <v>0</v>
      </c>
      <c r="R22" s="1"/>
    </row>
    <row r="23" spans="1:21" x14ac:dyDescent="0.3">
      <c r="A23" s="408"/>
      <c r="B23" s="414"/>
      <c r="C23" s="414"/>
      <c r="D23" s="305" t="s">
        <v>101</v>
      </c>
      <c r="E23" s="84">
        <f>E30+E37+E44+E51</f>
        <v>33226.424510000004</v>
      </c>
      <c r="F23" s="84">
        <f t="shared" si="3"/>
        <v>33544.400000000001</v>
      </c>
      <c r="G23" s="84">
        <f t="shared" si="3"/>
        <v>55791.640999999996</v>
      </c>
      <c r="H23" s="84">
        <f t="shared" si="3"/>
        <v>50192.994449999998</v>
      </c>
      <c r="I23" s="84">
        <f>I30+I37+I44+I51</f>
        <v>43661.469730000004</v>
      </c>
      <c r="J23" s="84">
        <f>J30+J37+J44+J51</f>
        <v>52152.521000000001</v>
      </c>
      <c r="K23" s="84">
        <f>K30+K37+K44+K51</f>
        <v>65450.553999999996</v>
      </c>
      <c r="L23" s="318">
        <f>L30+L37+L44+L51</f>
        <v>1909.9942799999999</v>
      </c>
      <c r="M23" s="318">
        <f t="shared" si="3"/>
        <v>178.6</v>
      </c>
      <c r="N23" s="318">
        <f t="shared" si="3"/>
        <v>178.6</v>
      </c>
      <c r="O23" s="318">
        <f>SUM(L23:N23)</f>
        <v>2267.1942799999997</v>
      </c>
      <c r="P23" s="316"/>
      <c r="Q23" s="317">
        <f>SUM(E23:N23)</f>
        <v>336287.19896999997</v>
      </c>
      <c r="R23" s="1"/>
    </row>
    <row r="24" spans="1:21" x14ac:dyDescent="0.3">
      <c r="A24" s="408"/>
      <c r="B24" s="414"/>
      <c r="C24" s="414"/>
      <c r="D24" s="305" t="s">
        <v>40</v>
      </c>
      <c r="E24" s="84">
        <f>E31+E38+E45+E52</f>
        <v>132150.42452</v>
      </c>
      <c r="F24" s="84">
        <f t="shared" si="3"/>
        <v>98960.423290000006</v>
      </c>
      <c r="G24" s="84">
        <f t="shared" si="3"/>
        <v>113001.82996999999</v>
      </c>
      <c r="H24" s="84">
        <f t="shared" si="3"/>
        <v>105262.70068999998</v>
      </c>
      <c r="I24" s="84">
        <f>I31+I38+I45+I52</f>
        <v>122331.57480999999</v>
      </c>
      <c r="J24" s="84">
        <f t="shared" ref="J24:K26" si="5">J31+J38+J45+J52</f>
        <v>138077.09946</v>
      </c>
      <c r="K24" s="84">
        <f t="shared" si="5"/>
        <v>173576.177</v>
      </c>
      <c r="L24" s="318">
        <f>L31+L38+L45+L52</f>
        <v>261576.65071999998</v>
      </c>
      <c r="M24" s="318">
        <f t="shared" si="3"/>
        <v>259573.18099999998</v>
      </c>
      <c r="N24" s="318">
        <f t="shared" si="3"/>
        <v>259573.18099999998</v>
      </c>
      <c r="O24" s="318">
        <f>O31+O38+O45+O52</f>
        <v>780723.01271999988</v>
      </c>
      <c r="P24" s="316"/>
      <c r="Q24" s="317">
        <f>SUM(E24:N24)</f>
        <v>1664083.2424599999</v>
      </c>
      <c r="R24" s="1"/>
    </row>
    <row r="25" spans="1:21" ht="48" x14ac:dyDescent="0.3">
      <c r="A25" s="408"/>
      <c r="B25" s="414"/>
      <c r="C25" s="414"/>
      <c r="D25" s="8" t="s">
        <v>102</v>
      </c>
      <c r="E25" s="84">
        <f t="shared" ref="E25:G26" si="6">E32+E39+E46+E53</f>
        <v>0</v>
      </c>
      <c r="F25" s="84">
        <f t="shared" si="6"/>
        <v>0</v>
      </c>
      <c r="G25" s="84">
        <f t="shared" si="6"/>
        <v>0</v>
      </c>
      <c r="H25" s="84">
        <f t="shared" si="3"/>
        <v>0</v>
      </c>
      <c r="I25" s="84">
        <f t="shared" si="3"/>
        <v>0</v>
      </c>
      <c r="J25" s="84">
        <f t="shared" si="5"/>
        <v>0</v>
      </c>
      <c r="K25" s="84">
        <f t="shared" si="5"/>
        <v>0</v>
      </c>
      <c r="L25" s="318">
        <f t="shared" si="3"/>
        <v>0</v>
      </c>
      <c r="M25" s="318">
        <f t="shared" si="3"/>
        <v>0</v>
      </c>
      <c r="N25" s="318">
        <f t="shared" si="3"/>
        <v>0</v>
      </c>
      <c r="O25" s="318">
        <f>SUM(L25:N25)</f>
        <v>0</v>
      </c>
      <c r="P25" s="316"/>
      <c r="Q25" s="317">
        <f t="shared" si="4"/>
        <v>0</v>
      </c>
      <c r="R25" s="1"/>
    </row>
    <row r="26" spans="1:21" ht="19.5" thickBot="1" x14ac:dyDescent="0.35">
      <c r="A26" s="408"/>
      <c r="B26" s="414"/>
      <c r="C26" s="414"/>
      <c r="D26" s="305" t="s">
        <v>21</v>
      </c>
      <c r="E26" s="84">
        <f t="shared" si="6"/>
        <v>0</v>
      </c>
      <c r="F26" s="84">
        <f t="shared" si="6"/>
        <v>0</v>
      </c>
      <c r="G26" s="84">
        <f t="shared" si="6"/>
        <v>200</v>
      </c>
      <c r="H26" s="84">
        <f t="shared" si="3"/>
        <v>0</v>
      </c>
      <c r="I26" s="84">
        <f t="shared" si="3"/>
        <v>0</v>
      </c>
      <c r="J26" s="84">
        <f t="shared" si="5"/>
        <v>0</v>
      </c>
      <c r="K26" s="84">
        <f t="shared" si="5"/>
        <v>0</v>
      </c>
      <c r="L26" s="318">
        <f t="shared" si="3"/>
        <v>0</v>
      </c>
      <c r="M26" s="318">
        <f t="shared" si="3"/>
        <v>0</v>
      </c>
      <c r="N26" s="318">
        <f t="shared" si="3"/>
        <v>0</v>
      </c>
      <c r="O26" s="318">
        <f>SUM(L26:N26)</f>
        <v>0</v>
      </c>
      <c r="P26" s="316"/>
      <c r="Q26" s="317">
        <f t="shared" si="4"/>
        <v>200</v>
      </c>
      <c r="R26" s="1"/>
    </row>
    <row r="27" spans="1:21" s="129" customFormat="1" x14ac:dyDescent="0.3">
      <c r="A27" s="408" t="s">
        <v>3</v>
      </c>
      <c r="B27" s="414" t="s">
        <v>15</v>
      </c>
      <c r="C27" s="414" t="str">
        <f>'[1]Приложение 2'!C24</f>
        <v>Развитие транспортного комплекса, обеспечение сохранности и модернизации автомобильных дорог Туруханского района</v>
      </c>
      <c r="D27" s="313" t="s">
        <v>37</v>
      </c>
      <c r="E27" s="314">
        <f>SUM(E29:E33)</f>
        <v>38654.857510000002</v>
      </c>
      <c r="F27" s="314">
        <f t="shared" ref="F27:H27" si="7">SUM(F29:F33)</f>
        <v>38642.90999</v>
      </c>
      <c r="G27" s="314">
        <f t="shared" si="7"/>
        <v>64679.243999999999</v>
      </c>
      <c r="H27" s="314">
        <f t="shared" si="7"/>
        <v>51991.447849999997</v>
      </c>
      <c r="I27" s="314">
        <f>SUM(I29:I33)</f>
        <v>46554.788160000011</v>
      </c>
      <c r="J27" s="314">
        <f t="shared" ref="J27:K27" si="8">SUM(J29:J33)</f>
        <v>59160.668460000001</v>
      </c>
      <c r="K27" s="314">
        <f t="shared" si="8"/>
        <v>81968.146999999997</v>
      </c>
      <c r="L27" s="315">
        <f>SUM(L29:L33)</f>
        <v>72273.884999999995</v>
      </c>
      <c r="M27" s="315">
        <f t="shared" ref="M27:N27" si="9">SUM(M29:M33)</f>
        <v>70273.884999999995</v>
      </c>
      <c r="N27" s="315">
        <f t="shared" si="9"/>
        <v>70273.884999999995</v>
      </c>
      <c r="O27" s="315">
        <f>SUM(L27:N27)</f>
        <v>212821.65499999997</v>
      </c>
      <c r="P27" s="319">
        <f>O27-'[1]Приложение 2'!L24</f>
        <v>0</v>
      </c>
      <c r="Q27" s="320">
        <f>SUM(E27:N27)</f>
        <v>594473.71797</v>
      </c>
      <c r="R27" s="321" t="b">
        <f>SUM(Q29:Q33)=Q27</f>
        <v>1</v>
      </c>
    </row>
    <row r="28" spans="1:21" s="132" customFormat="1" x14ac:dyDescent="0.3">
      <c r="A28" s="408"/>
      <c r="B28" s="414"/>
      <c r="C28" s="414"/>
      <c r="D28" s="305" t="s">
        <v>20</v>
      </c>
      <c r="E28" s="84"/>
      <c r="F28" s="84"/>
      <c r="G28" s="84"/>
      <c r="H28" s="84"/>
      <c r="I28" s="84"/>
      <c r="J28" s="84"/>
      <c r="K28" s="84"/>
      <c r="L28" s="318"/>
      <c r="M28" s="318"/>
      <c r="N28" s="318"/>
      <c r="O28" s="318"/>
      <c r="P28" s="322"/>
      <c r="Q28" s="323">
        <f t="shared" si="4"/>
        <v>0</v>
      </c>
      <c r="R28" s="324"/>
    </row>
    <row r="29" spans="1:21" s="132" customFormat="1" x14ac:dyDescent="0.3">
      <c r="A29" s="408"/>
      <c r="B29" s="414"/>
      <c r="C29" s="414"/>
      <c r="D29" s="7" t="s">
        <v>100</v>
      </c>
      <c r="E29" s="84"/>
      <c r="F29" s="84"/>
      <c r="G29" s="84"/>
      <c r="H29" s="84"/>
      <c r="I29" s="84"/>
      <c r="J29" s="84"/>
      <c r="K29" s="84"/>
      <c r="L29" s="318"/>
      <c r="M29" s="318"/>
      <c r="N29" s="318"/>
      <c r="O29" s="318">
        <f t="shared" ref="O29:O34" si="10">SUM(L29:N29)</f>
        <v>0</v>
      </c>
      <c r="P29" s="322"/>
      <c r="Q29" s="323">
        <f t="shared" si="4"/>
        <v>0</v>
      </c>
      <c r="R29" s="324"/>
    </row>
    <row r="30" spans="1:21" s="132" customFormat="1" x14ac:dyDescent="0.3">
      <c r="A30" s="408"/>
      <c r="B30" s="414"/>
      <c r="C30" s="414"/>
      <c r="D30" s="305" t="s">
        <v>101</v>
      </c>
      <c r="E30" s="84">
        <v>33203.024510000003</v>
      </c>
      <c r="F30" s="84">
        <v>33544.400000000001</v>
      </c>
      <c r="G30" s="84">
        <v>55649.004999999997</v>
      </c>
      <c r="H30" s="84">
        <v>47780.994449999998</v>
      </c>
      <c r="I30" s="84">
        <v>40519.269730000007</v>
      </c>
      <c r="J30" s="84">
        <f>49498.086-220.5</f>
        <v>49277.586000000003</v>
      </c>
      <c r="K30" s="84">
        <v>61266.1</v>
      </c>
      <c r="L30" s="318"/>
      <c r="M30" s="318"/>
      <c r="N30" s="318"/>
      <c r="O30" s="318">
        <f t="shared" si="10"/>
        <v>0</v>
      </c>
      <c r="P30" s="322"/>
      <c r="Q30" s="323">
        <f>SUM(E30:N30)</f>
        <v>321240.37969000003</v>
      </c>
      <c r="R30" s="324"/>
      <c r="S30" s="130"/>
    </row>
    <row r="31" spans="1:21" s="132" customFormat="1" x14ac:dyDescent="0.3">
      <c r="A31" s="408"/>
      <c r="B31" s="414"/>
      <c r="C31" s="414"/>
      <c r="D31" s="305" t="s">
        <v>40</v>
      </c>
      <c r="E31" s="84">
        <v>5451.8330000000005</v>
      </c>
      <c r="F31" s="84">
        <v>5098.5099900000005</v>
      </c>
      <c r="G31" s="84">
        <v>8830.2389999999996</v>
      </c>
      <c r="H31" s="84">
        <v>4210.4534000000003</v>
      </c>
      <c r="I31" s="84">
        <v>6035.5184300000001</v>
      </c>
      <c r="J31" s="84">
        <f>4174.297+5708.78546</f>
        <v>9883.0824599999996</v>
      </c>
      <c r="K31" s="84">
        <v>20702.046999999999</v>
      </c>
      <c r="L31" s="318">
        <f>'[1]пр к ПП1'!H35</f>
        <v>72273.884999999995</v>
      </c>
      <c r="M31" s="318">
        <f>'[1]пр к ПП1'!I35</f>
        <v>70273.884999999995</v>
      </c>
      <c r="N31" s="318">
        <f>'[1]пр к ПП1'!J35</f>
        <v>70273.884999999995</v>
      </c>
      <c r="O31" s="318">
        <f t="shared" si="10"/>
        <v>212821.65499999997</v>
      </c>
      <c r="P31" s="322"/>
      <c r="Q31" s="323">
        <f t="shared" si="4"/>
        <v>273033.33828000003</v>
      </c>
      <c r="R31" s="324"/>
      <c r="U31" s="269"/>
    </row>
    <row r="32" spans="1:21" s="132" customFormat="1" ht="48" x14ac:dyDescent="0.3">
      <c r="A32" s="408"/>
      <c r="B32" s="414"/>
      <c r="C32" s="414"/>
      <c r="D32" s="8" t="s">
        <v>102</v>
      </c>
      <c r="E32" s="85"/>
      <c r="F32" s="85">
        <v>0</v>
      </c>
      <c r="G32" s="85"/>
      <c r="H32" s="85"/>
      <c r="I32" s="84"/>
      <c r="J32" s="84"/>
      <c r="K32" s="84"/>
      <c r="L32" s="318"/>
      <c r="M32" s="318"/>
      <c r="N32" s="318"/>
      <c r="O32" s="318">
        <f t="shared" si="10"/>
        <v>0</v>
      </c>
      <c r="P32" s="322"/>
      <c r="Q32" s="323">
        <f t="shared" si="4"/>
        <v>0</v>
      </c>
      <c r="R32" s="324"/>
    </row>
    <row r="33" spans="1:21" s="135" customFormat="1" ht="19.5" thickBot="1" x14ac:dyDescent="0.35">
      <c r="A33" s="408"/>
      <c r="B33" s="414"/>
      <c r="C33" s="414"/>
      <c r="D33" s="305" t="s">
        <v>21</v>
      </c>
      <c r="E33" s="84"/>
      <c r="F33" s="84"/>
      <c r="G33" s="84">
        <v>200</v>
      </c>
      <c r="H33" s="84"/>
      <c r="I33" s="84"/>
      <c r="J33" s="84"/>
      <c r="K33" s="84"/>
      <c r="L33" s="318"/>
      <c r="M33" s="318"/>
      <c r="N33" s="318"/>
      <c r="O33" s="318">
        <f t="shared" si="10"/>
        <v>0</v>
      </c>
      <c r="P33" s="325"/>
      <c r="Q33" s="326">
        <f t="shared" si="4"/>
        <v>200</v>
      </c>
      <c r="R33" s="327"/>
    </row>
    <row r="34" spans="1:21" s="129" customFormat="1" x14ac:dyDescent="0.3">
      <c r="A34" s="408" t="s">
        <v>84</v>
      </c>
      <c r="B34" s="414" t="s">
        <v>91</v>
      </c>
      <c r="C34" s="414" t="str">
        <f>'[1]Приложение 2'!C28</f>
        <v>Организация транспортного обслуживания  на территории Туруханского района</v>
      </c>
      <c r="D34" s="313" t="s">
        <v>37</v>
      </c>
      <c r="E34" s="314">
        <f t="shared" ref="E34:H34" si="11">SUM(E36:E40)</f>
        <v>119174.72440000001</v>
      </c>
      <c r="F34" s="314">
        <f t="shared" si="11"/>
        <v>81921.9133</v>
      </c>
      <c r="G34" s="314">
        <f t="shared" si="11"/>
        <v>94460.706969999999</v>
      </c>
      <c r="H34" s="314">
        <f t="shared" si="11"/>
        <v>91047.031289999984</v>
      </c>
      <c r="I34" s="314">
        <f>SUM(I36:I40)</f>
        <v>106290.91970999999</v>
      </c>
      <c r="J34" s="314">
        <f>SUM(J36:J40)</f>
        <v>118180.678</v>
      </c>
      <c r="K34" s="314">
        <f>SUM(K36:K40)</f>
        <v>142874.13</v>
      </c>
      <c r="L34" s="315">
        <f>SUM(L36:L40)</f>
        <v>178699.296</v>
      </c>
      <c r="M34" s="315">
        <f>SUM(M36:M40)</f>
        <v>178699.296</v>
      </c>
      <c r="N34" s="315">
        <f t="shared" ref="N34" si="12">SUM(N36:N40)</f>
        <v>178699.296</v>
      </c>
      <c r="O34" s="315">
        <f t="shared" si="10"/>
        <v>536097.88800000004</v>
      </c>
      <c r="P34" s="319">
        <f>O34-'[1]Приложение 2'!L28</f>
        <v>0</v>
      </c>
      <c r="Q34" s="320">
        <f t="shared" si="4"/>
        <v>1290047.9916700001</v>
      </c>
      <c r="R34" s="321" t="b">
        <f>SUM(Q36:Q40)=Q34</f>
        <v>1</v>
      </c>
    </row>
    <row r="35" spans="1:21" s="132" customFormat="1" x14ac:dyDescent="0.3">
      <c r="A35" s="408"/>
      <c r="B35" s="414"/>
      <c r="C35" s="414"/>
      <c r="D35" s="305" t="s">
        <v>20</v>
      </c>
      <c r="E35" s="84"/>
      <c r="F35" s="84"/>
      <c r="G35" s="84"/>
      <c r="H35" s="84"/>
      <c r="I35" s="84"/>
      <c r="J35" s="84"/>
      <c r="K35" s="84"/>
      <c r="L35" s="318"/>
      <c r="M35" s="318"/>
      <c r="N35" s="318"/>
      <c r="O35" s="318"/>
      <c r="P35" s="322"/>
      <c r="Q35" s="323">
        <f t="shared" si="4"/>
        <v>0</v>
      </c>
      <c r="R35" s="324"/>
    </row>
    <row r="36" spans="1:21" s="132" customFormat="1" x14ac:dyDescent="0.3">
      <c r="A36" s="408"/>
      <c r="B36" s="414"/>
      <c r="C36" s="414"/>
      <c r="D36" s="7" t="s">
        <v>100</v>
      </c>
      <c r="E36" s="84"/>
      <c r="F36" s="84"/>
      <c r="G36" s="84"/>
      <c r="H36" s="84"/>
      <c r="I36" s="84"/>
      <c r="J36" s="84"/>
      <c r="K36" s="84"/>
      <c r="L36" s="318"/>
      <c r="M36" s="318"/>
      <c r="N36" s="318"/>
      <c r="O36" s="318">
        <f t="shared" ref="O36:O41" si="13">SUM(L36:N36)</f>
        <v>0</v>
      </c>
      <c r="P36" s="322"/>
      <c r="Q36" s="323">
        <f t="shared" si="4"/>
        <v>0</v>
      </c>
      <c r="R36" s="324"/>
      <c r="S36" s="132">
        <f>102577093+26642837+810700+320000+10048500+2475000</f>
        <v>142874130</v>
      </c>
      <c r="T36" s="130">
        <f>S36/1000</f>
        <v>142874.13</v>
      </c>
      <c r="U36" s="130">
        <f>T36-K38</f>
        <v>0</v>
      </c>
    </row>
    <row r="37" spans="1:21" s="132" customFormat="1" x14ac:dyDescent="0.3">
      <c r="A37" s="408"/>
      <c r="B37" s="414"/>
      <c r="C37" s="414"/>
      <c r="D37" s="305" t="s">
        <v>101</v>
      </c>
      <c r="E37" s="84"/>
      <c r="F37" s="84"/>
      <c r="G37" s="84"/>
      <c r="H37" s="84"/>
      <c r="I37" s="84"/>
      <c r="J37" s="84"/>
      <c r="K37" s="84"/>
      <c r="L37" s="318"/>
      <c r="M37" s="318"/>
      <c r="N37" s="318"/>
      <c r="O37" s="318">
        <f t="shared" si="13"/>
        <v>0</v>
      </c>
      <c r="P37" s="322"/>
      <c r="Q37" s="323">
        <f t="shared" si="4"/>
        <v>0</v>
      </c>
      <c r="R37" s="324"/>
    </row>
    <row r="38" spans="1:21" s="132" customFormat="1" x14ac:dyDescent="0.3">
      <c r="A38" s="408"/>
      <c r="B38" s="414"/>
      <c r="C38" s="414"/>
      <c r="D38" s="305" t="s">
        <v>40</v>
      </c>
      <c r="E38" s="84">
        <v>119174.72440000001</v>
      </c>
      <c r="F38" s="84">
        <v>81921.9133</v>
      </c>
      <c r="G38" s="84">
        <v>94460.706969999999</v>
      </c>
      <c r="H38" s="84">
        <v>91047.031289999984</v>
      </c>
      <c r="I38" s="84">
        <v>106290.91970999999</v>
      </c>
      <c r="J38" s="84">
        <v>118180.678</v>
      </c>
      <c r="K38" s="84">
        <v>142874.13</v>
      </c>
      <c r="L38" s="318">
        <f>'[1]пр к ПП2'!H17+'[1]пр к ПП2'!H19+'[1]пр к ПП2'!H21+'[1]пр к ПП2'!H29+'[1]пр к ПП2'!H32+'[1]пр к ПП2'!H35+'[1]пр к ПП2'!H41+'[1]пр к ПП2'!H38</f>
        <v>178699.296</v>
      </c>
      <c r="M38" s="318">
        <f>'[1]пр к ПП2'!I17+'[1]пр к ПП2'!I19+'[1]пр к ПП2'!I21+'[1]пр к ПП2'!I29+'[1]пр к ПП2'!I32+'[1]пр к ПП2'!I35+'[1]пр к ПП2'!I41+'[1]пр к ПП2'!I38</f>
        <v>178699.296</v>
      </c>
      <c r="N38" s="318">
        <f>'[1]пр к ПП2'!J17+'[1]пр к ПП2'!J19+'[1]пр к ПП2'!J21+'[1]пр к ПП2'!J29+'[1]пр к ПП2'!J32+'[1]пр к ПП2'!J35+'[1]пр к ПП2'!J41+'[1]пр к ПП2'!J38</f>
        <v>178699.296</v>
      </c>
      <c r="O38" s="318">
        <f>'[1]пр к ПП2'!K17+'[1]пр к ПП2'!K19+'[1]пр к ПП2'!K21+'[1]пр к ПП2'!K29+'[1]пр к ПП2'!K32+'[1]пр к ПП2'!K35+'[1]пр к ПП2'!K41+'[1]пр к ПП2'!K38</f>
        <v>536097.88799999992</v>
      </c>
      <c r="P38" s="322"/>
      <c r="Q38" s="323">
        <f t="shared" si="4"/>
        <v>1290047.9916700001</v>
      </c>
      <c r="R38" s="324"/>
    </row>
    <row r="39" spans="1:21" s="132" customFormat="1" ht="48" x14ac:dyDescent="0.3">
      <c r="A39" s="408"/>
      <c r="B39" s="414"/>
      <c r="C39" s="414"/>
      <c r="D39" s="8" t="s">
        <v>102</v>
      </c>
      <c r="E39" s="85"/>
      <c r="F39" s="85"/>
      <c r="G39" s="85"/>
      <c r="H39" s="85"/>
      <c r="I39" s="84"/>
      <c r="J39" s="84"/>
      <c r="K39" s="84"/>
      <c r="L39" s="318"/>
      <c r="M39" s="318"/>
      <c r="N39" s="318"/>
      <c r="O39" s="318">
        <f t="shared" si="13"/>
        <v>0</v>
      </c>
      <c r="P39" s="322"/>
      <c r="Q39" s="323">
        <f t="shared" si="4"/>
        <v>0</v>
      </c>
      <c r="R39" s="324"/>
    </row>
    <row r="40" spans="1:21" s="135" customFormat="1" ht="19.5" thickBot="1" x14ac:dyDescent="0.35">
      <c r="A40" s="408"/>
      <c r="B40" s="414"/>
      <c r="C40" s="414"/>
      <c r="D40" s="305" t="s">
        <v>21</v>
      </c>
      <c r="E40" s="84"/>
      <c r="F40" s="84"/>
      <c r="G40" s="84"/>
      <c r="H40" s="84"/>
      <c r="I40" s="84"/>
      <c r="J40" s="84"/>
      <c r="K40" s="84"/>
      <c r="L40" s="318"/>
      <c r="M40" s="318"/>
      <c r="N40" s="318"/>
      <c r="O40" s="318">
        <f t="shared" si="13"/>
        <v>0</v>
      </c>
      <c r="P40" s="325"/>
      <c r="Q40" s="326">
        <f t="shared" si="4"/>
        <v>0</v>
      </c>
      <c r="R40" s="327"/>
    </row>
    <row r="41" spans="1:21" s="129" customFormat="1" x14ac:dyDescent="0.3">
      <c r="A41" s="408" t="s">
        <v>86</v>
      </c>
      <c r="B41" s="414" t="s">
        <v>92</v>
      </c>
      <c r="C41" s="414" t="str">
        <f>'[1]Приложение 2'!C33</f>
        <v>Безопасность дорожного движения в Туруханском районе</v>
      </c>
      <c r="D41" s="313" t="s">
        <v>37</v>
      </c>
      <c r="E41" s="314">
        <f t="shared" ref="E41:H41" si="14">SUM(E43:E47)</f>
        <v>23.4</v>
      </c>
      <c r="F41" s="314">
        <f t="shared" si="14"/>
        <v>0</v>
      </c>
      <c r="G41" s="314">
        <f t="shared" si="14"/>
        <v>463.12</v>
      </c>
      <c r="H41" s="314">
        <f t="shared" si="14"/>
        <v>152.5</v>
      </c>
      <c r="I41" s="314">
        <f>SUM(I43:I47)</f>
        <v>80</v>
      </c>
      <c r="J41" s="314">
        <f t="shared" ref="J41:N41" si="15">SUM(J43:J47)</f>
        <v>220.5</v>
      </c>
      <c r="K41" s="314">
        <f t="shared" si="15"/>
        <v>1668</v>
      </c>
      <c r="L41" s="315">
        <f t="shared" si="15"/>
        <v>178.6</v>
      </c>
      <c r="M41" s="315">
        <f t="shared" si="15"/>
        <v>178.6</v>
      </c>
      <c r="N41" s="315">
        <f t="shared" si="15"/>
        <v>178.6</v>
      </c>
      <c r="O41" s="315">
        <f t="shared" si="13"/>
        <v>535.79999999999995</v>
      </c>
      <c r="P41" s="328">
        <f>O41-'[1]Приложение 2'!L33</f>
        <v>0</v>
      </c>
      <c r="Q41" s="320">
        <f t="shared" si="4"/>
        <v>3143.3199999999997</v>
      </c>
      <c r="R41" s="321" t="b">
        <f>SUM(Q43:Q47)=Q41</f>
        <v>1</v>
      </c>
    </row>
    <row r="42" spans="1:21" s="132" customFormat="1" x14ac:dyDescent="0.3">
      <c r="A42" s="408"/>
      <c r="B42" s="414"/>
      <c r="C42" s="414"/>
      <c r="D42" s="305" t="s">
        <v>20</v>
      </c>
      <c r="E42" s="84"/>
      <c r="F42" s="84"/>
      <c r="G42" s="84"/>
      <c r="H42" s="84"/>
      <c r="I42" s="84"/>
      <c r="J42" s="84"/>
      <c r="K42" s="84"/>
      <c r="L42" s="318"/>
      <c r="M42" s="318"/>
      <c r="N42" s="318"/>
      <c r="O42" s="318"/>
      <c r="P42" s="322"/>
      <c r="Q42" s="323">
        <f t="shared" si="4"/>
        <v>0</v>
      </c>
      <c r="R42" s="324"/>
    </row>
    <row r="43" spans="1:21" s="132" customFormat="1" x14ac:dyDescent="0.3">
      <c r="A43" s="408"/>
      <c r="B43" s="414"/>
      <c r="C43" s="414"/>
      <c r="D43" s="7" t="s">
        <v>100</v>
      </c>
      <c r="E43" s="84"/>
      <c r="F43" s="84"/>
      <c r="G43" s="84"/>
      <c r="H43" s="84"/>
      <c r="I43" s="84"/>
      <c r="J43" s="84"/>
      <c r="K43" s="84"/>
      <c r="L43" s="318"/>
      <c r="M43" s="318"/>
      <c r="N43" s="318"/>
      <c r="O43" s="318">
        <f t="shared" ref="O43:O48" si="16">SUM(L43:N43)</f>
        <v>0</v>
      </c>
      <c r="P43" s="322"/>
      <c r="Q43" s="323">
        <f t="shared" si="4"/>
        <v>0</v>
      </c>
      <c r="R43" s="324"/>
    </row>
    <row r="44" spans="1:21" s="132" customFormat="1" x14ac:dyDescent="0.3">
      <c r="A44" s="408"/>
      <c r="B44" s="414"/>
      <c r="C44" s="414"/>
      <c r="D44" s="305" t="s">
        <v>101</v>
      </c>
      <c r="E44" s="84">
        <v>23.4</v>
      </c>
      <c r="F44" s="84">
        <v>0</v>
      </c>
      <c r="G44" s="84">
        <v>142.636</v>
      </c>
      <c r="H44" s="84">
        <v>152</v>
      </c>
      <c r="I44" s="84">
        <v>80</v>
      </c>
      <c r="J44" s="84">
        <v>220.5</v>
      </c>
      <c r="K44" s="84">
        <v>1668</v>
      </c>
      <c r="L44" s="329">
        <f>'[1]пр к ПП3'!H18+'[1]пр к ПП3'!H22</f>
        <v>178.6</v>
      </c>
      <c r="M44" s="329">
        <f>'[1]пр к ПП3'!I18+'[1]пр к ПП3'!I22</f>
        <v>178.6</v>
      </c>
      <c r="N44" s="329">
        <f>'[1]пр к ПП3'!J18+'[1]пр к ПП3'!J22</f>
        <v>178.6</v>
      </c>
      <c r="O44" s="329">
        <f t="shared" si="16"/>
        <v>535.79999999999995</v>
      </c>
      <c r="P44" s="322"/>
      <c r="Q44" s="323">
        <f t="shared" si="4"/>
        <v>2822.3359999999998</v>
      </c>
      <c r="R44" s="324"/>
    </row>
    <row r="45" spans="1:21" s="132" customFormat="1" x14ac:dyDescent="0.3">
      <c r="A45" s="408"/>
      <c r="B45" s="414"/>
      <c r="C45" s="414"/>
      <c r="D45" s="305" t="s">
        <v>40</v>
      </c>
      <c r="E45" s="84">
        <v>0</v>
      </c>
      <c r="F45" s="84">
        <v>0</v>
      </c>
      <c r="G45" s="84">
        <v>320.48399999999998</v>
      </c>
      <c r="H45" s="84">
        <v>0.5</v>
      </c>
      <c r="I45" s="84">
        <v>0</v>
      </c>
      <c r="J45" s="84">
        <f>'[1]пр к ПП3'!G16</f>
        <v>0</v>
      </c>
      <c r="K45" s="84">
        <v>0</v>
      </c>
      <c r="L45" s="318">
        <f>'[1]пр к ПП3'!H16</f>
        <v>0</v>
      </c>
      <c r="M45" s="318">
        <f>'[1]пр к ПП3'!I16</f>
        <v>0</v>
      </c>
      <c r="N45" s="318">
        <f>'[1]пр к ПП3'!J16</f>
        <v>0</v>
      </c>
      <c r="O45" s="318">
        <f t="shared" si="16"/>
        <v>0</v>
      </c>
      <c r="P45" s="322"/>
      <c r="Q45" s="323">
        <f t="shared" si="4"/>
        <v>320.98399999999998</v>
      </c>
      <c r="R45" s="324"/>
    </row>
    <row r="46" spans="1:21" s="132" customFormat="1" ht="48" x14ac:dyDescent="0.3">
      <c r="A46" s="408"/>
      <c r="B46" s="414"/>
      <c r="C46" s="414"/>
      <c r="D46" s="8" t="s">
        <v>102</v>
      </c>
      <c r="E46" s="85"/>
      <c r="F46" s="85"/>
      <c r="G46" s="85"/>
      <c r="H46" s="85"/>
      <c r="I46" s="84"/>
      <c r="J46" s="84"/>
      <c r="K46" s="84"/>
      <c r="L46" s="318"/>
      <c r="M46" s="318"/>
      <c r="N46" s="318"/>
      <c r="O46" s="318">
        <f t="shared" si="16"/>
        <v>0</v>
      </c>
      <c r="P46" s="322"/>
      <c r="Q46" s="323">
        <f t="shared" si="4"/>
        <v>0</v>
      </c>
      <c r="R46" s="324"/>
    </row>
    <row r="47" spans="1:21" s="135" customFormat="1" ht="19.5" thickBot="1" x14ac:dyDescent="0.35">
      <c r="A47" s="408"/>
      <c r="B47" s="414"/>
      <c r="C47" s="414"/>
      <c r="D47" s="305" t="s">
        <v>21</v>
      </c>
      <c r="E47" s="84"/>
      <c r="F47" s="84"/>
      <c r="G47" s="84"/>
      <c r="H47" s="84"/>
      <c r="I47" s="84"/>
      <c r="J47" s="84"/>
      <c r="K47" s="84"/>
      <c r="L47" s="318"/>
      <c r="M47" s="318"/>
      <c r="N47" s="318"/>
      <c r="O47" s="318">
        <f t="shared" si="16"/>
        <v>0</v>
      </c>
      <c r="P47" s="325"/>
      <c r="Q47" s="326">
        <f t="shared" si="4"/>
        <v>0</v>
      </c>
      <c r="R47" s="327"/>
    </row>
    <row r="48" spans="1:21" s="129" customFormat="1" x14ac:dyDescent="0.3">
      <c r="A48" s="408" t="s">
        <v>87</v>
      </c>
      <c r="B48" s="414" t="s">
        <v>93</v>
      </c>
      <c r="C48" s="414" t="str">
        <f>'[1]Приложение 2'!C37</f>
        <v>Развитие связи на территории Туруханского района</v>
      </c>
      <c r="D48" s="313" t="s">
        <v>37</v>
      </c>
      <c r="E48" s="314">
        <f t="shared" ref="E48:H48" si="17">SUM(E50:E54)</f>
        <v>7523.8671199999999</v>
      </c>
      <c r="F48" s="314">
        <f t="shared" si="17"/>
        <v>11940</v>
      </c>
      <c r="G48" s="314">
        <f t="shared" si="17"/>
        <v>9390.4</v>
      </c>
      <c r="H48" s="314">
        <f t="shared" si="17"/>
        <v>12264.716</v>
      </c>
      <c r="I48" s="314">
        <f>SUM(I50:I54)</f>
        <v>13067.336670000001</v>
      </c>
      <c r="J48" s="314">
        <f t="shared" ref="J48:N48" si="18">SUM(J50:J54)</f>
        <v>12667.773999999999</v>
      </c>
      <c r="K48" s="314">
        <f t="shared" si="18"/>
        <v>12516.454</v>
      </c>
      <c r="L48" s="315">
        <f t="shared" si="18"/>
        <v>12334.864</v>
      </c>
      <c r="M48" s="315">
        <f t="shared" si="18"/>
        <v>10600</v>
      </c>
      <c r="N48" s="315">
        <f t="shared" si="18"/>
        <v>10600</v>
      </c>
      <c r="O48" s="315">
        <f t="shared" si="16"/>
        <v>33534.864000000001</v>
      </c>
      <c r="P48" s="319">
        <f>O48-'[1]Приложение 2'!L37</f>
        <v>0</v>
      </c>
      <c r="Q48" s="320">
        <f t="shared" si="4"/>
        <v>112905.41179</v>
      </c>
      <c r="R48" s="321" t="b">
        <f>SUM(Q50:Q54)=Q48</f>
        <v>1</v>
      </c>
    </row>
    <row r="49" spans="1:25" s="132" customFormat="1" x14ac:dyDescent="0.3">
      <c r="A49" s="408"/>
      <c r="B49" s="414"/>
      <c r="C49" s="414"/>
      <c r="D49" s="305" t="s">
        <v>20</v>
      </c>
      <c r="E49" s="84"/>
      <c r="F49" s="84"/>
      <c r="G49" s="84"/>
      <c r="H49" s="84"/>
      <c r="I49" s="84"/>
      <c r="J49" s="84"/>
      <c r="K49" s="84"/>
      <c r="L49" s="318"/>
      <c r="M49" s="318"/>
      <c r="N49" s="318"/>
      <c r="O49" s="318"/>
      <c r="P49" s="322"/>
      <c r="Q49" s="323">
        <f t="shared" si="4"/>
        <v>0</v>
      </c>
      <c r="R49" s="324"/>
    </row>
    <row r="50" spans="1:25" s="132" customFormat="1" x14ac:dyDescent="0.3">
      <c r="A50" s="408"/>
      <c r="B50" s="414"/>
      <c r="C50" s="414"/>
      <c r="D50" s="7" t="s">
        <v>100</v>
      </c>
      <c r="E50" s="84"/>
      <c r="F50" s="84"/>
      <c r="G50" s="84"/>
      <c r="H50" s="84"/>
      <c r="I50" s="84"/>
      <c r="J50" s="84"/>
      <c r="K50" s="84"/>
      <c r="L50" s="318"/>
      <c r="M50" s="318"/>
      <c r="N50" s="318"/>
      <c r="O50" s="318">
        <f t="shared" ref="O50:O54" si="19">SUM(L50:N50)</f>
        <v>0</v>
      </c>
      <c r="P50" s="322"/>
      <c r="Q50" s="323">
        <f t="shared" si="4"/>
        <v>0</v>
      </c>
      <c r="R50" s="324"/>
    </row>
    <row r="51" spans="1:25" s="132" customFormat="1" x14ac:dyDescent="0.3">
      <c r="A51" s="408"/>
      <c r="B51" s="414"/>
      <c r="C51" s="414"/>
      <c r="D51" s="305" t="s">
        <v>101</v>
      </c>
      <c r="E51" s="84"/>
      <c r="F51" s="84"/>
      <c r="G51" s="84"/>
      <c r="H51" s="84">
        <v>2260</v>
      </c>
      <c r="I51" s="84">
        <v>3062.2</v>
      </c>
      <c r="J51" s="84">
        <f>2654.435</f>
        <v>2654.4349999999999</v>
      </c>
      <c r="K51" s="84">
        <v>2516.4540000000002</v>
      </c>
      <c r="L51" s="318">
        <f>'[1]пр к ПП4'!H17</f>
        <v>1731.39428</v>
      </c>
      <c r="M51" s="318">
        <f>'[1]пр к ПП4'!I17</f>
        <v>0</v>
      </c>
      <c r="N51" s="318">
        <f>'[1]пр к ПП4'!J17</f>
        <v>0</v>
      </c>
      <c r="O51" s="318">
        <f t="shared" si="19"/>
        <v>1731.39428</v>
      </c>
      <c r="P51" s="322"/>
      <c r="Q51" s="323">
        <f t="shared" si="4"/>
        <v>12224.48328</v>
      </c>
      <c r="R51" s="324"/>
      <c r="T51" s="132">
        <v>2667.7739999999999</v>
      </c>
      <c r="U51" s="130">
        <f>T51-J51</f>
        <v>13.338999999999942</v>
      </c>
    </row>
    <row r="52" spans="1:25" s="132" customFormat="1" x14ac:dyDescent="0.3">
      <c r="A52" s="408"/>
      <c r="B52" s="414"/>
      <c r="C52" s="414"/>
      <c r="D52" s="305" t="s">
        <v>40</v>
      </c>
      <c r="E52" s="84">
        <v>7523.8671199999999</v>
      </c>
      <c r="F52" s="84">
        <v>11940</v>
      </c>
      <c r="G52" s="84">
        <v>9390.4</v>
      </c>
      <c r="H52" s="84">
        <v>10004.716</v>
      </c>
      <c r="I52" s="84">
        <v>10005.13667</v>
      </c>
      <c r="J52" s="84">
        <f>13.339+10000</f>
        <v>10013.339</v>
      </c>
      <c r="K52" s="84">
        <v>10000</v>
      </c>
      <c r="L52" s="318">
        <f>'[1]пр к ПП4'!H15+'[1]пр к ПП4'!H18</f>
        <v>10603.469719999999</v>
      </c>
      <c r="M52" s="318">
        <f>'[1]пр к ПП4'!I15+'[1]пр к ПП4'!I18</f>
        <v>10600</v>
      </c>
      <c r="N52" s="318">
        <f>'[1]пр к ПП4'!J15+'[1]пр к ПП4'!J18</f>
        <v>10600</v>
      </c>
      <c r="O52" s="318">
        <f t="shared" si="19"/>
        <v>31803.469720000001</v>
      </c>
      <c r="P52" s="322"/>
      <c r="Q52" s="323">
        <f t="shared" si="4"/>
        <v>100680.92851</v>
      </c>
      <c r="R52" s="324"/>
      <c r="T52" s="132">
        <v>10000</v>
      </c>
      <c r="U52" s="130">
        <f>T52-J52</f>
        <v>-13.338999999999942</v>
      </c>
      <c r="X52" s="132">
        <f>12667.7738</f>
        <v>12667.773800000001</v>
      </c>
      <c r="Y52" s="130">
        <f>X52-J48</f>
        <v>-1.9999999858555384E-4</v>
      </c>
    </row>
    <row r="53" spans="1:25" s="132" customFormat="1" ht="48" x14ac:dyDescent="0.3">
      <c r="A53" s="408"/>
      <c r="B53" s="414"/>
      <c r="C53" s="414"/>
      <c r="D53" s="8" t="s">
        <v>102</v>
      </c>
      <c r="E53" s="85"/>
      <c r="F53" s="85"/>
      <c r="G53" s="85"/>
      <c r="H53" s="85"/>
      <c r="I53" s="84"/>
      <c r="J53" s="84"/>
      <c r="K53" s="84"/>
      <c r="L53" s="318"/>
      <c r="M53" s="318"/>
      <c r="N53" s="318"/>
      <c r="O53" s="318">
        <f t="shared" si="19"/>
        <v>0</v>
      </c>
      <c r="P53" s="322"/>
      <c r="Q53" s="323">
        <f t="shared" si="4"/>
        <v>0</v>
      </c>
      <c r="R53" s="324"/>
    </row>
    <row r="54" spans="1:25" s="135" customFormat="1" ht="19.5" thickBot="1" x14ac:dyDescent="0.35">
      <c r="A54" s="408"/>
      <c r="B54" s="414"/>
      <c r="C54" s="414"/>
      <c r="D54" s="305" t="s">
        <v>21</v>
      </c>
      <c r="E54" s="84"/>
      <c r="F54" s="84"/>
      <c r="G54" s="84"/>
      <c r="H54" s="84"/>
      <c r="I54" s="84"/>
      <c r="J54" s="84"/>
      <c r="K54" s="84"/>
      <c r="L54" s="318"/>
      <c r="M54" s="318"/>
      <c r="N54" s="318"/>
      <c r="O54" s="318">
        <f t="shared" si="19"/>
        <v>0</v>
      </c>
      <c r="P54" s="325"/>
      <c r="Q54" s="326">
        <f t="shared" si="4"/>
        <v>0</v>
      </c>
      <c r="R54" s="327"/>
    </row>
    <row r="62" spans="1:25" s="1" customFormat="1" ht="15.75" x14ac:dyDescent="0.25">
      <c r="A62" s="4"/>
      <c r="B62" s="1" t="s">
        <v>230</v>
      </c>
      <c r="E62" s="4"/>
      <c r="I62" s="38"/>
      <c r="J62" s="38"/>
      <c r="K62" s="38"/>
    </row>
    <row r="63" spans="1:25" s="1" customFormat="1" ht="15.75" x14ac:dyDescent="0.25">
      <c r="A63" s="4"/>
      <c r="B63" s="1" t="s">
        <v>231</v>
      </c>
      <c r="E63" s="4"/>
      <c r="I63" s="38"/>
      <c r="J63" s="38"/>
      <c r="K63" s="38"/>
      <c r="L63" s="1" t="b">
        <f>L27='[1]пр к ПП1'!H35</f>
        <v>1</v>
      </c>
      <c r="M63" s="1" t="b">
        <f>M27='[1]пр к ПП1'!I35</f>
        <v>1</v>
      </c>
      <c r="N63" s="1" t="b">
        <f>N27='[1]пр к ПП1'!J35</f>
        <v>1</v>
      </c>
      <c r="O63" s="1" t="b">
        <f>O27='[1]пр к ПП1'!K35</f>
        <v>1</v>
      </c>
      <c r="P63" s="1" t="b">
        <f>P36='[1]пр к ПП1'!K47</f>
        <v>1</v>
      </c>
    </row>
    <row r="64" spans="1:25" s="1" customFormat="1" ht="15.75" x14ac:dyDescent="0.25">
      <c r="A64" s="4"/>
      <c r="B64" s="1" t="s">
        <v>232</v>
      </c>
      <c r="E64" s="4"/>
      <c r="I64" s="38"/>
      <c r="J64" s="38"/>
      <c r="K64" s="38"/>
      <c r="L64" s="1" t="b">
        <f>L34='[1]пр к ПП2'!H42</f>
        <v>1</v>
      </c>
      <c r="M64" s="1" t="b">
        <f>M34='[1]пр к ПП2'!I42</f>
        <v>1</v>
      </c>
      <c r="N64" s="1" t="b">
        <f>N34='[1]пр к ПП2'!J42</f>
        <v>1</v>
      </c>
      <c r="O64" s="1" t="b">
        <f>O34='[1]пр к ПП2'!K42</f>
        <v>1</v>
      </c>
      <c r="P64" s="1" t="b">
        <f>P40='[1]пр к ПП2'!K54</f>
        <v>1</v>
      </c>
    </row>
    <row r="65" spans="1:16" s="1" customFormat="1" ht="15.75" x14ac:dyDescent="0.25">
      <c r="A65" s="4"/>
      <c r="B65" s="1" t="s">
        <v>233</v>
      </c>
      <c r="E65" s="4"/>
      <c r="I65" s="38"/>
      <c r="J65" s="38"/>
      <c r="K65" s="38"/>
      <c r="L65" s="1" t="b">
        <f>L41='[1]пр к ПП3'!H24</f>
        <v>1</v>
      </c>
      <c r="M65" s="1" t="b">
        <f>M41='[1]пр к ПП3'!I24</f>
        <v>1</v>
      </c>
      <c r="N65" s="1" t="b">
        <f>N41='[1]пр к ПП3'!J24</f>
        <v>1</v>
      </c>
      <c r="O65" s="1" t="b">
        <f>O41='[1]пр к ПП3'!K24</f>
        <v>1</v>
      </c>
      <c r="P65" s="1" t="b">
        <f>P44='[1]пр к ПП3'!K36</f>
        <v>1</v>
      </c>
    </row>
    <row r="66" spans="1:16" s="1" customFormat="1" ht="15.75" x14ac:dyDescent="0.25">
      <c r="A66" s="4"/>
      <c r="B66" s="1" t="s">
        <v>234</v>
      </c>
      <c r="E66" s="4"/>
      <c r="I66" s="38"/>
      <c r="J66" s="38"/>
      <c r="K66" s="38"/>
      <c r="L66" s="1" t="b">
        <f>L48='[1]пр к ПП4'!H20</f>
        <v>1</v>
      </c>
      <c r="M66" s="1" t="b">
        <f>M48='[1]пр к ПП4'!I20</f>
        <v>1</v>
      </c>
      <c r="N66" s="1" t="b">
        <f>N48='[1]пр к ПП4'!J20</f>
        <v>1</v>
      </c>
      <c r="O66" s="1" t="b">
        <f>O48='[1]пр к ПП4'!K20</f>
        <v>1</v>
      </c>
      <c r="P66" s="1" t="b">
        <f>P48='[1]пр к ПП4'!L20</f>
        <v>0</v>
      </c>
    </row>
    <row r="67" spans="1:16" s="1" customFormat="1" ht="15.75" x14ac:dyDescent="0.25">
      <c r="A67" s="4"/>
      <c r="E67" s="4"/>
      <c r="I67" s="38"/>
      <c r="J67" s="38"/>
      <c r="K67" s="38"/>
    </row>
    <row r="68" spans="1:16" s="1" customFormat="1" ht="15.75" x14ac:dyDescent="0.25">
      <c r="A68" s="4"/>
      <c r="E68" s="4"/>
      <c r="I68" s="38"/>
      <c r="J68" s="38"/>
      <c r="K68" s="38"/>
    </row>
    <row r="69" spans="1:16" s="1" customFormat="1" ht="15.75" x14ac:dyDescent="0.25">
      <c r="A69" s="4"/>
      <c r="B69" s="1" t="s">
        <v>231</v>
      </c>
      <c r="E69" s="4"/>
      <c r="I69" s="204">
        <f>I27-'[1]пр к ПП1'!H35</f>
        <v>-25719.096839999984</v>
      </c>
      <c r="J69" s="204"/>
      <c r="K69" s="204"/>
      <c r="L69" s="123">
        <f>L27-'[1]пр к ПП1'!H35</f>
        <v>0</v>
      </c>
      <c r="M69" s="123">
        <f>M27-'[1]пр к ПП1'!I35</f>
        <v>0</v>
      </c>
      <c r="N69" s="123">
        <f>N27-'[1]пр к ПП1'!J35</f>
        <v>0</v>
      </c>
      <c r="O69" s="123">
        <f>O27-'[1]пр к ПП1'!K35</f>
        <v>0</v>
      </c>
      <c r="P69" s="123">
        <f>P36-'[1]пр к ПП1'!K47</f>
        <v>0</v>
      </c>
    </row>
    <row r="70" spans="1:16" s="1" customFormat="1" ht="15.75" x14ac:dyDescent="0.25">
      <c r="A70" s="4"/>
      <c r="B70" s="1" t="s">
        <v>232</v>
      </c>
      <c r="E70" s="4"/>
      <c r="I70" s="204">
        <f>I34-'[1]пр к ПП2'!H42</f>
        <v>-72408.376290000015</v>
      </c>
      <c r="J70" s="204"/>
      <c r="K70" s="204"/>
      <c r="L70" s="123">
        <f>L34-'[1]пр к ПП2'!H42</f>
        <v>0</v>
      </c>
      <c r="M70" s="123">
        <f>M34-'[1]пр к ПП2'!I42</f>
        <v>0</v>
      </c>
      <c r="N70" s="123">
        <f>N34-'[1]пр к ПП2'!J42</f>
        <v>0</v>
      </c>
      <c r="O70" s="123">
        <f>O34-'[1]пр к ПП2'!K42</f>
        <v>0</v>
      </c>
      <c r="P70" s="123">
        <f>P40-'[1]пр к ПП2'!K54</f>
        <v>0</v>
      </c>
    </row>
    <row r="71" spans="1:16" s="1" customFormat="1" ht="15.75" x14ac:dyDescent="0.25">
      <c r="A71" s="4"/>
      <c r="B71" s="1" t="s">
        <v>233</v>
      </c>
      <c r="E71" s="4"/>
      <c r="I71" s="204">
        <f>I41-'[1]пр к ПП3'!H24</f>
        <v>-98.6</v>
      </c>
      <c r="J71" s="204"/>
      <c r="K71" s="204"/>
      <c r="L71" s="123">
        <f>L41-'[1]пр к ПП3'!H24</f>
        <v>0</v>
      </c>
      <c r="M71" s="123">
        <f>M41-'[1]пр к ПП3'!I24</f>
        <v>0</v>
      </c>
      <c r="N71" s="123">
        <f>N41-'[1]пр к ПП3'!J24</f>
        <v>0</v>
      </c>
      <c r="O71" s="123">
        <f>O41-'[1]пр к ПП3'!K24</f>
        <v>0</v>
      </c>
      <c r="P71" s="123">
        <f>P44-'[1]пр к ПП3'!K36</f>
        <v>0</v>
      </c>
    </row>
    <row r="72" spans="1:16" s="1" customFormat="1" ht="15.75" x14ac:dyDescent="0.25">
      <c r="A72" s="4"/>
      <c r="B72" s="1" t="s">
        <v>234</v>
      </c>
      <c r="E72" s="4"/>
      <c r="I72" s="204">
        <f>I48-'[1]пр к ПП4'!H20</f>
        <v>732.47267000000102</v>
      </c>
      <c r="J72" s="204"/>
      <c r="K72" s="204"/>
      <c r="L72" s="123">
        <f>L48-'[1]пр к ПП4'!H20</f>
        <v>0</v>
      </c>
      <c r="M72" s="123">
        <f>M48-'[1]пр к ПП4'!I20</f>
        <v>0</v>
      </c>
      <c r="N72" s="123">
        <f>N48-'[1]пр к ПП4'!J20</f>
        <v>0</v>
      </c>
      <c r="O72" s="123">
        <f>O48-'[1]пр к ПП4'!K20</f>
        <v>0</v>
      </c>
      <c r="P72" s="123">
        <f>P48-'[1]пр к ПП4'!K32</f>
        <v>0</v>
      </c>
    </row>
  </sheetData>
  <mergeCells count="29">
    <mergeCell ref="A48:A54"/>
    <mergeCell ref="B48:B54"/>
    <mergeCell ref="C48:C54"/>
    <mergeCell ref="A34:A40"/>
    <mergeCell ref="B34:B40"/>
    <mergeCell ref="C34:C40"/>
    <mergeCell ref="A41:A47"/>
    <mergeCell ref="B41:B47"/>
    <mergeCell ref="C41:C47"/>
    <mergeCell ref="A20:A26"/>
    <mergeCell ref="B20:B26"/>
    <mergeCell ref="C20:C26"/>
    <mergeCell ref="A27:A33"/>
    <mergeCell ref="B27:B33"/>
    <mergeCell ref="C27:C33"/>
    <mergeCell ref="A12:O12"/>
    <mergeCell ref="A13:O13"/>
    <mergeCell ref="A14:O14"/>
    <mergeCell ref="A17:A18"/>
    <mergeCell ref="B17:B18"/>
    <mergeCell ref="C17:C18"/>
    <mergeCell ref="D17:D18"/>
    <mergeCell ref="O17:O18"/>
    <mergeCell ref="A11:O11"/>
    <mergeCell ref="L6:R6"/>
    <mergeCell ref="L1:O1"/>
    <mergeCell ref="L4:O4"/>
    <mergeCell ref="A9:O9"/>
    <mergeCell ref="A10:O10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view="pageBreakPreview" topLeftCell="A4" zoomScale="85" zoomScaleNormal="70" zoomScaleSheetLayoutView="85" workbookViewId="0">
      <selection activeCell="Q21" sqref="Q21"/>
    </sheetView>
  </sheetViews>
  <sheetFormatPr defaultRowHeight="15.75" x14ac:dyDescent="0.25"/>
  <cols>
    <col min="1" max="1" width="4.75" style="4" customWidth="1"/>
    <col min="2" max="2" width="43.5" style="1" customWidth="1"/>
    <col min="3" max="3" width="10.5" style="4" customWidth="1"/>
    <col min="4" max="4" width="14.875" style="1" customWidth="1"/>
    <col min="5" max="5" width="12.875" style="1" customWidth="1"/>
    <col min="6" max="6" width="14.375" style="1" customWidth="1"/>
    <col min="7" max="7" width="13" style="1" customWidth="1"/>
    <col min="8" max="8" width="12" style="1" customWidth="1"/>
    <col min="9" max="16384" width="9" style="1"/>
  </cols>
  <sheetData>
    <row r="1" spans="1:8" ht="81" hidden="1" customHeight="1" x14ac:dyDescent="0.25">
      <c r="F1" s="338"/>
      <c r="G1" s="338"/>
      <c r="H1" s="338"/>
    </row>
    <row r="2" spans="1:8" hidden="1" x14ac:dyDescent="0.25"/>
    <row r="3" spans="1:8" hidden="1" x14ac:dyDescent="0.25"/>
    <row r="4" spans="1:8" ht="130.5" customHeight="1" x14ac:dyDescent="0.25">
      <c r="F4" s="339" t="s">
        <v>201</v>
      </c>
      <c r="G4" s="339"/>
      <c r="H4" s="339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342" t="s">
        <v>1</v>
      </c>
      <c r="B7" s="342"/>
      <c r="C7" s="342"/>
      <c r="D7" s="342"/>
      <c r="E7" s="342"/>
      <c r="F7" s="342"/>
      <c r="G7" s="342"/>
      <c r="H7" s="342"/>
    </row>
    <row r="8" spans="1:8" ht="18.75" x14ac:dyDescent="0.25">
      <c r="A8" s="345" t="s">
        <v>97</v>
      </c>
      <c r="B8" s="342"/>
      <c r="C8" s="342"/>
      <c r="D8" s="342"/>
      <c r="E8" s="342"/>
      <c r="F8" s="342"/>
      <c r="G8" s="342"/>
      <c r="H8" s="342"/>
    </row>
    <row r="9" spans="1:8" ht="36" customHeight="1" x14ac:dyDescent="0.25">
      <c r="A9" s="345" t="s">
        <v>96</v>
      </c>
      <c r="B9" s="342"/>
      <c r="C9" s="342"/>
      <c r="D9" s="342"/>
      <c r="E9" s="342"/>
      <c r="F9" s="342"/>
      <c r="G9" s="342"/>
      <c r="H9" s="342"/>
    </row>
    <row r="10" spans="1:8" ht="13.5" customHeight="1" x14ac:dyDescent="0.25">
      <c r="A10" s="10"/>
    </row>
    <row r="11" spans="1:8" x14ac:dyDescent="0.25">
      <c r="A11" s="330" t="s">
        <v>19</v>
      </c>
      <c r="B11" s="330" t="s">
        <v>46</v>
      </c>
      <c r="C11" s="330" t="s">
        <v>2</v>
      </c>
      <c r="D11" s="330" t="s">
        <v>47</v>
      </c>
      <c r="E11" s="330" t="s">
        <v>48</v>
      </c>
      <c r="F11" s="330"/>
      <c r="G11" s="330"/>
      <c r="H11" s="330"/>
    </row>
    <row r="12" spans="1:8" x14ac:dyDescent="0.25">
      <c r="A12" s="330"/>
      <c r="B12" s="330"/>
      <c r="C12" s="330"/>
      <c r="D12" s="330"/>
      <c r="E12" s="197">
        <v>2019</v>
      </c>
      <c r="F12" s="197">
        <v>2020</v>
      </c>
      <c r="G12" s="197">
        <v>2021</v>
      </c>
      <c r="H12" s="197">
        <v>2022</v>
      </c>
    </row>
    <row r="13" spans="1:8" x14ac:dyDescent="0.25">
      <c r="A13" s="86">
        <v>1</v>
      </c>
      <c r="B13" s="86">
        <v>2</v>
      </c>
      <c r="C13" s="86">
        <v>3</v>
      </c>
      <c r="D13" s="86">
        <v>4</v>
      </c>
      <c r="E13" s="86">
        <v>5</v>
      </c>
      <c r="F13" s="86">
        <v>6</v>
      </c>
      <c r="G13" s="86">
        <v>7</v>
      </c>
      <c r="H13" s="86">
        <v>8</v>
      </c>
    </row>
    <row r="14" spans="1:8" ht="50.25" customHeight="1" x14ac:dyDescent="0.25">
      <c r="A14" s="344" t="str">
        <f>'пр к ПП1'!A13:L13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44"/>
      <c r="C14" s="344"/>
      <c r="D14" s="344"/>
      <c r="E14" s="344"/>
      <c r="F14" s="344"/>
      <c r="G14" s="344"/>
      <c r="H14" s="344"/>
    </row>
    <row r="15" spans="1:8" ht="33" customHeight="1" x14ac:dyDescent="0.25">
      <c r="A15" s="344" t="str">
        <f>'пр к ПП1'!A14:L14</f>
        <v>Задача 1. Улучшение технического состояния существующей улично-дорожной сети и автомобильных дорог местного значения.</v>
      </c>
      <c r="B15" s="344"/>
      <c r="C15" s="344"/>
      <c r="D15" s="344"/>
      <c r="E15" s="344"/>
      <c r="F15" s="344"/>
      <c r="G15" s="344"/>
      <c r="H15" s="344"/>
    </row>
    <row r="16" spans="1:8" ht="47.25" x14ac:dyDescent="0.25">
      <c r="A16" s="89" t="s">
        <v>3</v>
      </c>
      <c r="B16" s="88" t="s">
        <v>69</v>
      </c>
      <c r="C16" s="89" t="s">
        <v>70</v>
      </c>
      <c r="D16" s="89" t="s">
        <v>71</v>
      </c>
      <c r="E16" s="277">
        <v>2.91</v>
      </c>
      <c r="F16" s="277">
        <v>2.68</v>
      </c>
      <c r="G16" s="277">
        <v>2.68</v>
      </c>
      <c r="H16" s="277">
        <v>2.68</v>
      </c>
    </row>
    <row r="17" spans="1:11" ht="47.25" x14ac:dyDescent="0.25">
      <c r="A17" s="89" t="s">
        <v>84</v>
      </c>
      <c r="B17" s="88" t="s">
        <v>72</v>
      </c>
      <c r="C17" s="89" t="s">
        <v>70</v>
      </c>
      <c r="D17" s="89" t="s">
        <v>73</v>
      </c>
      <c r="E17" s="219">
        <v>273.60000000000002</v>
      </c>
      <c r="F17" s="219">
        <f t="shared" ref="F17:F18" si="0">E17</f>
        <v>273.60000000000002</v>
      </c>
      <c r="G17" s="219">
        <f t="shared" ref="G17:H18" si="1">F17</f>
        <v>273.60000000000002</v>
      </c>
      <c r="H17" s="219">
        <f t="shared" si="1"/>
        <v>273.60000000000002</v>
      </c>
    </row>
    <row r="18" spans="1:11" ht="31.5" x14ac:dyDescent="0.25">
      <c r="A18" s="89" t="s">
        <v>86</v>
      </c>
      <c r="B18" s="88" t="s">
        <v>76</v>
      </c>
      <c r="C18" s="89" t="s">
        <v>74</v>
      </c>
      <c r="D18" s="89" t="s">
        <v>75</v>
      </c>
      <c r="E18" s="221">
        <v>1</v>
      </c>
      <c r="F18" s="221">
        <f t="shared" si="0"/>
        <v>1</v>
      </c>
      <c r="G18" s="221">
        <f t="shared" si="1"/>
        <v>1</v>
      </c>
      <c r="H18" s="221">
        <f t="shared" si="1"/>
        <v>1</v>
      </c>
    </row>
    <row r="19" spans="1:11" ht="18.75" x14ac:dyDescent="0.25">
      <c r="A19" s="10"/>
    </row>
    <row r="20" spans="1:11" ht="18.75" x14ac:dyDescent="0.25">
      <c r="A20" s="10"/>
    </row>
    <row r="21" spans="1:11" ht="18.75" x14ac:dyDescent="0.25">
      <c r="A21" s="10"/>
    </row>
    <row r="22" spans="1:11" x14ac:dyDescent="0.25">
      <c r="K22" s="1">
        <v>3000</v>
      </c>
    </row>
    <row r="23" spans="1:11" x14ac:dyDescent="0.25">
      <c r="K23" s="1">
        <v>300</v>
      </c>
    </row>
    <row r="24" spans="1:11" x14ac:dyDescent="0.25">
      <c r="K24" s="1">
        <v>17650.099999999999</v>
      </c>
    </row>
    <row r="25" spans="1:11" x14ac:dyDescent="0.25">
      <c r="K25" s="1">
        <v>530</v>
      </c>
    </row>
    <row r="26" spans="1:11" x14ac:dyDescent="0.25">
      <c r="K26" s="1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5"/>
  <sheetViews>
    <sheetView view="pageBreakPreview" topLeftCell="A18" zoomScale="70" zoomScaleNormal="55" zoomScaleSheetLayoutView="70" workbookViewId="0">
      <selection activeCell="Q21" sqref="Q21"/>
    </sheetView>
  </sheetViews>
  <sheetFormatPr defaultRowHeight="18.75" outlineLevelRow="1" x14ac:dyDescent="0.25"/>
  <cols>
    <col min="1" max="1" width="4.75" style="192" customWidth="1"/>
    <col min="2" max="2" width="49.625" style="22" customWidth="1"/>
    <col min="3" max="3" width="25.125" style="22" customWidth="1"/>
    <col min="4" max="5" width="7.375" style="22" customWidth="1"/>
    <col min="6" max="6" width="17.75" style="22" customWidth="1"/>
    <col min="7" max="7" width="5.75" style="22" customWidth="1"/>
    <col min="8" max="8" width="14.875" style="22" bestFit="1" customWidth="1"/>
    <col min="9" max="10" width="13.75" style="22" bestFit="1" customWidth="1"/>
    <col min="11" max="11" width="20" style="22" customWidth="1"/>
    <col min="12" max="12" width="24.5" style="22" customWidth="1"/>
    <col min="13" max="13" width="57.625" style="22" customWidth="1"/>
    <col min="14" max="14" width="24" style="22" customWidth="1"/>
    <col min="15" max="16384" width="9" style="22"/>
  </cols>
  <sheetData>
    <row r="1" spans="1:12" ht="84" hidden="1" customHeight="1" outlineLevel="1" x14ac:dyDescent="0.3">
      <c r="K1" s="355" t="s">
        <v>252</v>
      </c>
      <c r="L1" s="355"/>
    </row>
    <row r="2" spans="1:12" hidden="1" outlineLevel="1" x14ac:dyDescent="0.25"/>
    <row r="3" spans="1:12" hidden="1" outlineLevel="1" x14ac:dyDescent="0.25"/>
    <row r="4" spans="1:12" ht="121.5" customHeight="1" collapsed="1" x14ac:dyDescent="0.25">
      <c r="K4" s="356" t="s">
        <v>202</v>
      </c>
      <c r="L4" s="356"/>
    </row>
    <row r="7" spans="1:12" x14ac:dyDescent="0.25">
      <c r="A7" s="359" t="s">
        <v>1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</row>
    <row r="8" spans="1:12" x14ac:dyDescent="0.25">
      <c r="A8" s="359" t="s">
        <v>63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</row>
    <row r="10" spans="1:12" ht="42.75" customHeight="1" x14ac:dyDescent="0.25">
      <c r="A10" s="335" t="s">
        <v>19</v>
      </c>
      <c r="B10" s="335" t="s">
        <v>49</v>
      </c>
      <c r="C10" s="335" t="s">
        <v>225</v>
      </c>
      <c r="D10" s="335" t="s">
        <v>23</v>
      </c>
      <c r="E10" s="335"/>
      <c r="F10" s="335"/>
      <c r="G10" s="335"/>
      <c r="H10" s="335" t="s">
        <v>50</v>
      </c>
      <c r="I10" s="335"/>
      <c r="J10" s="335"/>
      <c r="K10" s="335"/>
      <c r="L10" s="335" t="s">
        <v>51</v>
      </c>
    </row>
    <row r="11" spans="1:12" ht="77.25" customHeight="1" x14ac:dyDescent="0.25">
      <c r="A11" s="335"/>
      <c r="B11" s="335"/>
      <c r="C11" s="335"/>
      <c r="D11" s="191" t="s">
        <v>25</v>
      </c>
      <c r="E11" s="191" t="s">
        <v>26</v>
      </c>
      <c r="F11" s="191" t="s">
        <v>27</v>
      </c>
      <c r="G11" s="191" t="s">
        <v>28</v>
      </c>
      <c r="H11" s="203">
        <f>'пр 7 к МП'!K$16</f>
        <v>2020</v>
      </c>
      <c r="I11" s="203">
        <f>'пр 7 к МП'!L$16</f>
        <v>2021</v>
      </c>
      <c r="J11" s="203">
        <f>'пр 7 к МП'!M$16</f>
        <v>2022</v>
      </c>
      <c r="K11" s="191" t="s">
        <v>52</v>
      </c>
      <c r="L11" s="335"/>
    </row>
    <row r="12" spans="1:12" x14ac:dyDescent="0.25">
      <c r="A12" s="191">
        <v>1</v>
      </c>
      <c r="B12" s="191">
        <v>2</v>
      </c>
      <c r="C12" s="191">
        <v>3</v>
      </c>
      <c r="D12" s="191">
        <v>4</v>
      </c>
      <c r="E12" s="191">
        <v>5</v>
      </c>
      <c r="F12" s="191">
        <v>6</v>
      </c>
      <c r="G12" s="191">
        <v>7</v>
      </c>
      <c r="H12" s="191">
        <v>8</v>
      </c>
      <c r="I12" s="191">
        <v>9</v>
      </c>
      <c r="J12" s="191">
        <v>10</v>
      </c>
      <c r="K12" s="191">
        <v>11</v>
      </c>
      <c r="L12" s="191">
        <v>12</v>
      </c>
    </row>
    <row r="13" spans="1:12" s="113" customFormat="1" ht="41.25" customHeight="1" x14ac:dyDescent="0.25">
      <c r="A13" s="354" t="s">
        <v>167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</row>
    <row r="14" spans="1:12" s="113" customFormat="1" ht="19.5" customHeight="1" x14ac:dyDescent="0.25">
      <c r="A14" s="354" t="s">
        <v>168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</row>
    <row r="15" spans="1:12" ht="63" x14ac:dyDescent="0.25">
      <c r="A15" s="351" t="s">
        <v>3</v>
      </c>
      <c r="B15" s="349" t="s">
        <v>219</v>
      </c>
      <c r="C15" s="265" t="s">
        <v>66</v>
      </c>
      <c r="D15" s="234">
        <v>247</v>
      </c>
      <c r="E15" s="234" t="s">
        <v>62</v>
      </c>
      <c r="F15" s="139" t="s">
        <v>226</v>
      </c>
      <c r="G15" s="249">
        <v>540</v>
      </c>
      <c r="H15" s="261">
        <v>27398.6</v>
      </c>
      <c r="I15" s="261">
        <v>28494.5</v>
      </c>
      <c r="J15" s="261">
        <v>29634.3</v>
      </c>
      <c r="K15" s="276">
        <f t="shared" ref="K15:K23" si="0">SUM(H15:J15)</f>
        <v>85527.4</v>
      </c>
      <c r="L15" s="346" t="s">
        <v>134</v>
      </c>
    </row>
    <row r="16" spans="1:12" x14ac:dyDescent="0.25">
      <c r="A16" s="352"/>
      <c r="B16" s="350"/>
      <c r="C16" s="270" t="s">
        <v>267</v>
      </c>
      <c r="D16" s="124" t="s">
        <v>30</v>
      </c>
      <c r="E16" s="124" t="s">
        <v>30</v>
      </c>
      <c r="F16" s="124" t="s">
        <v>30</v>
      </c>
      <c r="G16" s="119" t="s">
        <v>30</v>
      </c>
      <c r="H16" s="125">
        <f t="shared" ref="H16" si="1">H15</f>
        <v>27398.6</v>
      </c>
      <c r="I16" s="125">
        <f t="shared" ref="I16:J16" si="2">I15</f>
        <v>28494.5</v>
      </c>
      <c r="J16" s="125">
        <f t="shared" si="2"/>
        <v>29634.3</v>
      </c>
      <c r="K16" s="125">
        <f t="shared" si="0"/>
        <v>85527.4</v>
      </c>
      <c r="L16" s="347"/>
    </row>
    <row r="17" spans="1:14" ht="63" x14ac:dyDescent="0.25">
      <c r="A17" s="351" t="s">
        <v>84</v>
      </c>
      <c r="B17" s="349" t="s">
        <v>218</v>
      </c>
      <c r="C17" s="265" t="s">
        <v>66</v>
      </c>
      <c r="D17" s="234">
        <v>247</v>
      </c>
      <c r="E17" s="234" t="s">
        <v>62</v>
      </c>
      <c r="F17" s="139" t="s">
        <v>227</v>
      </c>
      <c r="G17" s="249">
        <v>540</v>
      </c>
      <c r="H17" s="261">
        <v>13967.5</v>
      </c>
      <c r="I17" s="261">
        <v>15130.7</v>
      </c>
      <c r="J17" s="261">
        <v>15130.7</v>
      </c>
      <c r="K17" s="276">
        <f t="shared" si="0"/>
        <v>44228.9</v>
      </c>
      <c r="L17" s="347"/>
    </row>
    <row r="18" spans="1:14" x14ac:dyDescent="0.25">
      <c r="A18" s="352"/>
      <c r="B18" s="350"/>
      <c r="C18" s="270" t="s">
        <v>267</v>
      </c>
      <c r="D18" s="124" t="s">
        <v>30</v>
      </c>
      <c r="E18" s="124" t="s">
        <v>30</v>
      </c>
      <c r="F18" s="124" t="s">
        <v>30</v>
      </c>
      <c r="G18" s="124" t="s">
        <v>30</v>
      </c>
      <c r="H18" s="125">
        <f t="shared" ref="H18" si="3">H17</f>
        <v>13967.5</v>
      </c>
      <c r="I18" s="125">
        <f t="shared" ref="I18:J18" si="4">I17</f>
        <v>15130.7</v>
      </c>
      <c r="J18" s="125">
        <f t="shared" si="4"/>
        <v>15130.7</v>
      </c>
      <c r="K18" s="125">
        <f t="shared" si="0"/>
        <v>44228.9</v>
      </c>
      <c r="L18" s="348"/>
    </row>
    <row r="19" spans="1:14" ht="47.25" customHeight="1" x14ac:dyDescent="0.25">
      <c r="A19" s="346" t="s">
        <v>86</v>
      </c>
      <c r="B19" s="349" t="s">
        <v>107</v>
      </c>
      <c r="C19" s="265" t="s">
        <v>95</v>
      </c>
      <c r="D19" s="234">
        <v>242</v>
      </c>
      <c r="E19" s="335" t="s">
        <v>62</v>
      </c>
      <c r="F19" s="357" t="s">
        <v>269</v>
      </c>
      <c r="G19" s="335">
        <v>244</v>
      </c>
      <c r="H19" s="261">
        <v>1650.83</v>
      </c>
      <c r="I19" s="261">
        <v>1650.83</v>
      </c>
      <c r="J19" s="261">
        <f>I19</f>
        <v>1650.83</v>
      </c>
      <c r="K19" s="73">
        <f t="shared" si="0"/>
        <v>4952.49</v>
      </c>
      <c r="L19" s="346" t="s">
        <v>134</v>
      </c>
    </row>
    <row r="20" spans="1:14" ht="63" x14ac:dyDescent="0.25">
      <c r="A20" s="347"/>
      <c r="B20" s="353"/>
      <c r="C20" s="265" t="s">
        <v>66</v>
      </c>
      <c r="D20" s="234">
        <v>247</v>
      </c>
      <c r="E20" s="335"/>
      <c r="F20" s="358"/>
      <c r="G20" s="335"/>
      <c r="H20" s="261">
        <v>2564.5259999999998</v>
      </c>
      <c r="I20" s="261">
        <v>4000</v>
      </c>
      <c r="J20" s="261">
        <v>4000</v>
      </c>
      <c r="K20" s="276">
        <f>SUM(H20:J20)</f>
        <v>10564.526</v>
      </c>
      <c r="L20" s="347"/>
      <c r="N20" s="106"/>
    </row>
    <row r="21" spans="1:14" x14ac:dyDescent="0.25">
      <c r="A21" s="348"/>
      <c r="B21" s="350"/>
      <c r="C21" s="270" t="s">
        <v>267</v>
      </c>
      <c r="D21" s="124" t="s">
        <v>30</v>
      </c>
      <c r="E21" s="124" t="s">
        <v>30</v>
      </c>
      <c r="F21" s="124" t="s">
        <v>30</v>
      </c>
      <c r="G21" s="124" t="s">
        <v>30</v>
      </c>
      <c r="H21" s="125">
        <f t="shared" ref="H21" si="5">H19+H20</f>
        <v>4215.3559999999998</v>
      </c>
      <c r="I21" s="125">
        <f t="shared" ref="I21:J21" si="6">I19+I20</f>
        <v>5650.83</v>
      </c>
      <c r="J21" s="125">
        <f t="shared" si="6"/>
        <v>5650.83</v>
      </c>
      <c r="K21" s="125">
        <f t="shared" si="0"/>
        <v>15517.016</v>
      </c>
      <c r="L21" s="348"/>
      <c r="N21" s="106"/>
    </row>
    <row r="22" spans="1:14" s="24" customFormat="1" ht="70.5" customHeight="1" x14ac:dyDescent="0.25">
      <c r="A22" s="346" t="s">
        <v>87</v>
      </c>
      <c r="B22" s="349" t="s">
        <v>108</v>
      </c>
      <c r="C22" s="265" t="s">
        <v>66</v>
      </c>
      <c r="D22" s="234">
        <v>247</v>
      </c>
      <c r="E22" s="234" t="s">
        <v>62</v>
      </c>
      <c r="F22" s="139" t="s">
        <v>270</v>
      </c>
      <c r="G22" s="249">
        <v>540</v>
      </c>
      <c r="H22" s="261">
        <v>2238.7550000000001</v>
      </c>
      <c r="I22" s="261">
        <v>2238.7550000000001</v>
      </c>
      <c r="J22" s="261">
        <v>2238.7550000000001</v>
      </c>
      <c r="K22" s="276">
        <f t="shared" si="0"/>
        <v>6716.2650000000003</v>
      </c>
      <c r="L22" s="346" t="s">
        <v>133</v>
      </c>
    </row>
    <row r="23" spans="1:14" s="24" customFormat="1" x14ac:dyDescent="0.25">
      <c r="A23" s="348"/>
      <c r="B23" s="350"/>
      <c r="C23" s="270" t="s">
        <v>267</v>
      </c>
      <c r="D23" s="124" t="s">
        <v>30</v>
      </c>
      <c r="E23" s="124" t="s">
        <v>30</v>
      </c>
      <c r="F23" s="124" t="s">
        <v>30</v>
      </c>
      <c r="G23" s="124" t="s">
        <v>30</v>
      </c>
      <c r="H23" s="125">
        <f t="shared" ref="H23" si="7">H22</f>
        <v>2238.7550000000001</v>
      </c>
      <c r="I23" s="125">
        <f t="shared" ref="I23:J23" si="8">I22</f>
        <v>2238.7550000000001</v>
      </c>
      <c r="J23" s="125">
        <f t="shared" si="8"/>
        <v>2238.7550000000001</v>
      </c>
      <c r="K23" s="125">
        <f t="shared" si="0"/>
        <v>6716.2650000000003</v>
      </c>
      <c r="L23" s="348"/>
    </row>
    <row r="24" spans="1:14" s="24" customFormat="1" ht="34.5" customHeight="1" x14ac:dyDescent="0.25">
      <c r="A24" s="346" t="s">
        <v>246</v>
      </c>
      <c r="B24" s="349" t="s">
        <v>275</v>
      </c>
      <c r="C24" s="349" t="s">
        <v>66</v>
      </c>
      <c r="D24" s="346">
        <v>247</v>
      </c>
      <c r="E24" s="346" t="s">
        <v>62</v>
      </c>
      <c r="F24" s="139" t="s">
        <v>276</v>
      </c>
      <c r="G24" s="346">
        <v>244</v>
      </c>
      <c r="H24" s="72">
        <v>0</v>
      </c>
      <c r="I24" s="72"/>
      <c r="J24" s="72"/>
      <c r="K24" s="73">
        <f t="shared" ref="K24:K26" si="9">SUM(H24:J24)</f>
        <v>0</v>
      </c>
      <c r="L24" s="346" t="s">
        <v>134</v>
      </c>
    </row>
    <row r="25" spans="1:14" s="24" customFormat="1" ht="34.5" customHeight="1" x14ac:dyDescent="0.25">
      <c r="A25" s="347"/>
      <c r="B25" s="353"/>
      <c r="C25" s="350"/>
      <c r="D25" s="348"/>
      <c r="E25" s="348"/>
      <c r="F25" s="139" t="s">
        <v>277</v>
      </c>
      <c r="G25" s="348"/>
      <c r="H25" s="72">
        <v>0</v>
      </c>
      <c r="I25" s="72"/>
      <c r="J25" s="72"/>
      <c r="K25" s="73">
        <f t="shared" si="9"/>
        <v>0</v>
      </c>
      <c r="L25" s="347"/>
    </row>
    <row r="26" spans="1:14" s="24" customFormat="1" x14ac:dyDescent="0.25">
      <c r="A26" s="348"/>
      <c r="B26" s="350"/>
      <c r="C26" s="270" t="s">
        <v>267</v>
      </c>
      <c r="D26" s="124" t="s">
        <v>30</v>
      </c>
      <c r="E26" s="124" t="s">
        <v>30</v>
      </c>
      <c r="F26" s="124" t="s">
        <v>30</v>
      </c>
      <c r="G26" s="124" t="s">
        <v>30</v>
      </c>
      <c r="H26" s="125">
        <f>SUM(H24:H25)</f>
        <v>0</v>
      </c>
      <c r="I26" s="125">
        <f t="shared" ref="I26:J26" si="10">SUM(I24:I25)</f>
        <v>0</v>
      </c>
      <c r="J26" s="125">
        <f t="shared" si="10"/>
        <v>0</v>
      </c>
      <c r="K26" s="125">
        <f t="shared" si="9"/>
        <v>0</v>
      </c>
      <c r="L26" s="348"/>
    </row>
    <row r="27" spans="1:14" s="24" customFormat="1" ht="71.25" customHeight="1" x14ac:dyDescent="0.25">
      <c r="A27" s="346" t="s">
        <v>266</v>
      </c>
      <c r="B27" s="349" t="s">
        <v>274</v>
      </c>
      <c r="C27" s="265" t="s">
        <v>66</v>
      </c>
      <c r="D27" s="234">
        <v>247</v>
      </c>
      <c r="E27" s="234" t="s">
        <v>62</v>
      </c>
      <c r="F27" s="139" t="s">
        <v>271</v>
      </c>
      <c r="G27" s="249">
        <v>244</v>
      </c>
      <c r="H27" s="261">
        <v>12450</v>
      </c>
      <c r="I27" s="261">
        <v>12450</v>
      </c>
      <c r="J27" s="261">
        <v>12450</v>
      </c>
      <c r="K27" s="276">
        <f t="shared" ref="K27:K28" si="11">SUM(H27:J27)</f>
        <v>37350</v>
      </c>
      <c r="L27" s="346" t="s">
        <v>268</v>
      </c>
    </row>
    <row r="28" spans="1:14" s="24" customFormat="1" x14ac:dyDescent="0.25">
      <c r="A28" s="348"/>
      <c r="B28" s="350"/>
      <c r="C28" s="270" t="s">
        <v>267</v>
      </c>
      <c r="D28" s="124" t="s">
        <v>30</v>
      </c>
      <c r="E28" s="124" t="s">
        <v>30</v>
      </c>
      <c r="F28" s="124" t="s">
        <v>30</v>
      </c>
      <c r="G28" s="124" t="s">
        <v>30</v>
      </c>
      <c r="H28" s="125">
        <f t="shared" ref="H28:J28" si="12">H27</f>
        <v>12450</v>
      </c>
      <c r="I28" s="125">
        <f t="shared" si="12"/>
        <v>12450</v>
      </c>
      <c r="J28" s="125">
        <f t="shared" si="12"/>
        <v>12450</v>
      </c>
      <c r="K28" s="125">
        <f t="shared" si="11"/>
        <v>37350</v>
      </c>
      <c r="L28" s="348"/>
    </row>
    <row r="29" spans="1:14" s="24" customFormat="1" ht="90" customHeight="1" outlineLevel="1" x14ac:dyDescent="0.25">
      <c r="A29" s="346" t="s">
        <v>273</v>
      </c>
      <c r="B29" s="349" t="s">
        <v>272</v>
      </c>
      <c r="C29" s="265" t="s">
        <v>66</v>
      </c>
      <c r="D29" s="232">
        <v>247</v>
      </c>
      <c r="E29" s="232" t="s">
        <v>62</v>
      </c>
      <c r="F29" s="275"/>
      <c r="G29" s="249">
        <v>244</v>
      </c>
      <c r="H29" s="72"/>
      <c r="I29" s="72"/>
      <c r="J29" s="72"/>
      <c r="K29" s="73">
        <f t="shared" ref="K29:K30" si="13">SUM(H29:J29)</f>
        <v>0</v>
      </c>
      <c r="L29" s="233"/>
    </row>
    <row r="30" spans="1:14" s="24" customFormat="1" outlineLevel="1" x14ac:dyDescent="0.25">
      <c r="A30" s="348"/>
      <c r="B30" s="350"/>
      <c r="C30" s="270" t="s">
        <v>267</v>
      </c>
      <c r="D30" s="124" t="s">
        <v>30</v>
      </c>
      <c r="E30" s="124" t="s">
        <v>30</v>
      </c>
      <c r="F30" s="124" t="s">
        <v>30</v>
      </c>
      <c r="G30" s="124" t="s">
        <v>30</v>
      </c>
      <c r="H30" s="125">
        <f t="shared" ref="H30:J32" si="14">H29</f>
        <v>0</v>
      </c>
      <c r="I30" s="125">
        <f t="shared" si="14"/>
        <v>0</v>
      </c>
      <c r="J30" s="125">
        <f t="shared" si="14"/>
        <v>0</v>
      </c>
      <c r="K30" s="125">
        <f t="shared" si="13"/>
        <v>0</v>
      </c>
      <c r="L30" s="233"/>
    </row>
    <row r="31" spans="1:14" s="24" customFormat="1" ht="63" outlineLevel="1" x14ac:dyDescent="0.25">
      <c r="A31" s="266" t="s">
        <v>297</v>
      </c>
      <c r="B31" s="271" t="s">
        <v>310</v>
      </c>
      <c r="C31" s="272" t="s">
        <v>66</v>
      </c>
      <c r="D31" s="273" t="s">
        <v>296</v>
      </c>
      <c r="E31" s="273" t="s">
        <v>62</v>
      </c>
      <c r="F31" s="273" t="s">
        <v>311</v>
      </c>
      <c r="G31" s="273" t="s">
        <v>294</v>
      </c>
      <c r="H31" s="274">
        <v>400</v>
      </c>
      <c r="I31" s="274"/>
      <c r="J31" s="274"/>
      <c r="K31" s="274"/>
      <c r="L31" s="266"/>
    </row>
    <row r="32" spans="1:14" s="24" customFormat="1" outlineLevel="1" x14ac:dyDescent="0.25">
      <c r="A32" s="266"/>
      <c r="B32" s="267"/>
      <c r="C32" s="124" t="s">
        <v>267</v>
      </c>
      <c r="D32" s="124" t="s">
        <v>30</v>
      </c>
      <c r="E32" s="124" t="s">
        <v>30</v>
      </c>
      <c r="F32" s="124" t="s">
        <v>30</v>
      </c>
      <c r="G32" s="124" t="s">
        <v>30</v>
      </c>
      <c r="H32" s="125">
        <f t="shared" si="14"/>
        <v>400</v>
      </c>
      <c r="I32" s="125">
        <f t="shared" si="14"/>
        <v>0</v>
      </c>
      <c r="J32" s="125">
        <f t="shared" si="14"/>
        <v>0</v>
      </c>
      <c r="K32" s="125">
        <f t="shared" ref="K32" si="15">SUM(H32:J32)</f>
        <v>400</v>
      </c>
      <c r="L32" s="266"/>
    </row>
    <row r="33" spans="1:12" s="114" customFormat="1" x14ac:dyDescent="0.25">
      <c r="A33" s="120"/>
      <c r="B33" s="121" t="s">
        <v>120</v>
      </c>
      <c r="C33" s="120" t="s">
        <v>30</v>
      </c>
      <c r="D33" s="120" t="s">
        <v>30</v>
      </c>
      <c r="E33" s="120" t="s">
        <v>30</v>
      </c>
      <c r="F33" s="120" t="s">
        <v>30</v>
      </c>
      <c r="G33" s="120" t="s">
        <v>30</v>
      </c>
      <c r="H33" s="122">
        <f>H16+H18+H21+H23+H26+H28+H30+H32</f>
        <v>60670.210999999996</v>
      </c>
      <c r="I33" s="122">
        <f t="shared" ref="I33:K33" si="16">I16+I18+I21+I23+I26+I28+I30+I32</f>
        <v>63964.784999999996</v>
      </c>
      <c r="J33" s="122">
        <f t="shared" si="16"/>
        <v>65104.584999999999</v>
      </c>
      <c r="K33" s="122">
        <f t="shared" si="16"/>
        <v>189739.58100000001</v>
      </c>
      <c r="L33" s="120" t="s">
        <v>30</v>
      </c>
    </row>
    <row r="34" spans="1:12" s="24" customFormat="1" x14ac:dyDescent="0.25">
      <c r="A34" s="25"/>
    </row>
    <row r="35" spans="1:12" x14ac:dyDescent="0.25">
      <c r="H35" s="254">
        <f>H16+H21+H23+H28</f>
        <v>46302.710999999996</v>
      </c>
    </row>
    <row r="36" spans="1:12" x14ac:dyDescent="0.25">
      <c r="H36" s="254">
        <f>60677.285-H33</f>
        <v>7.0740000000077998</v>
      </c>
    </row>
    <row r="38" spans="1:12" x14ac:dyDescent="0.25">
      <c r="H38" s="42"/>
      <c r="I38" s="42"/>
      <c r="J38" s="42"/>
      <c r="K38" s="42"/>
    </row>
    <row r="39" spans="1:12" x14ac:dyDescent="0.25">
      <c r="H39" s="42"/>
      <c r="I39" s="42"/>
      <c r="J39" s="42"/>
      <c r="K39" s="42"/>
    </row>
    <row r="40" spans="1:12" x14ac:dyDescent="0.25">
      <c r="H40" s="42"/>
      <c r="I40" s="42"/>
      <c r="J40" s="42"/>
      <c r="K40" s="42"/>
    </row>
    <row r="41" spans="1:12" x14ac:dyDescent="0.25">
      <c r="H41" s="42"/>
      <c r="I41" s="42"/>
      <c r="J41" s="42"/>
      <c r="K41" s="42"/>
    </row>
    <row r="42" spans="1:12" x14ac:dyDescent="0.25">
      <c r="H42" s="115"/>
      <c r="I42" s="115"/>
      <c r="J42" s="115"/>
      <c r="K42" s="115"/>
    </row>
    <row r="43" spans="1:12" x14ac:dyDescent="0.25">
      <c r="H43" s="42"/>
      <c r="I43" s="42"/>
      <c r="J43" s="42"/>
      <c r="K43" s="42"/>
    </row>
    <row r="44" spans="1:12" x14ac:dyDescent="0.25">
      <c r="H44" s="42"/>
      <c r="I44" s="42"/>
      <c r="J44" s="42"/>
      <c r="K44" s="42"/>
    </row>
    <row r="45" spans="1:12" x14ac:dyDescent="0.25">
      <c r="H45" s="42"/>
      <c r="I45" s="42"/>
      <c r="J45" s="42"/>
      <c r="K45" s="42"/>
    </row>
  </sheetData>
  <mergeCells count="38">
    <mergeCell ref="C24:C25"/>
    <mergeCell ref="D24:D25"/>
    <mergeCell ref="E24:E25"/>
    <mergeCell ref="G24:G25"/>
    <mergeCell ref="A29:A30"/>
    <mergeCell ref="B29:B30"/>
    <mergeCell ref="A27:A28"/>
    <mergeCell ref="B27:B28"/>
    <mergeCell ref="L27:L28"/>
    <mergeCell ref="A24:A26"/>
    <mergeCell ref="B24:B26"/>
    <mergeCell ref="L24:L26"/>
    <mergeCell ref="K1:L1"/>
    <mergeCell ref="K4:L4"/>
    <mergeCell ref="G19:G20"/>
    <mergeCell ref="E19:E20"/>
    <mergeCell ref="F19:F20"/>
    <mergeCell ref="A7:L7"/>
    <mergeCell ref="A8:L8"/>
    <mergeCell ref="A10:A11"/>
    <mergeCell ref="B10:B11"/>
    <mergeCell ref="C10:C11"/>
    <mergeCell ref="D10:G10"/>
    <mergeCell ref="H10:K10"/>
    <mergeCell ref="L10:L11"/>
    <mergeCell ref="A14:L14"/>
    <mergeCell ref="A13:L13"/>
    <mergeCell ref="B15:B16"/>
    <mergeCell ref="A15:A16"/>
    <mergeCell ref="L15:L18"/>
    <mergeCell ref="L19:L21"/>
    <mergeCell ref="L22:L23"/>
    <mergeCell ref="B17:B18"/>
    <mergeCell ref="A17:A18"/>
    <mergeCell ref="B19:B21"/>
    <mergeCell ref="A19:A21"/>
    <mergeCell ref="B22:B23"/>
    <mergeCell ref="A22:A23"/>
  </mergeCells>
  <pageMargins left="0.78740157480314965" right="0.78740157480314965" top="1.1811023622047245" bottom="0.39370078740157483" header="0.31496062992125984" footer="0.31496062992125984"/>
  <pageSetup paperSize="9" scale="59" fitToHeight="0" orientation="landscape" r:id="rId1"/>
  <rowBreaks count="1" manualBreakCount="1">
    <brk id="2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BreakPreview" topLeftCell="A25" zoomScale="85" zoomScaleNormal="70" zoomScaleSheetLayoutView="85" workbookViewId="0">
      <selection activeCell="A22" sqref="A22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3.125" style="1" customWidth="1"/>
    <col min="9" max="16384" width="9" style="1"/>
  </cols>
  <sheetData>
    <row r="1" spans="1:8" ht="75.75" hidden="1" customHeight="1" outlineLevel="1" x14ac:dyDescent="0.25">
      <c r="F1" s="338" t="s">
        <v>254</v>
      </c>
      <c r="G1" s="338"/>
      <c r="H1" s="338"/>
    </row>
    <row r="2" spans="1:8" hidden="1" outlineLevel="1" x14ac:dyDescent="0.25"/>
    <row r="3" spans="1:8" hidden="1" outlineLevel="1" x14ac:dyDescent="0.25"/>
    <row r="4" spans="1:8" ht="92.25" customHeight="1" collapsed="1" x14ac:dyDescent="0.25">
      <c r="F4" s="339" t="s">
        <v>203</v>
      </c>
      <c r="G4" s="339"/>
      <c r="H4" s="339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342" t="s">
        <v>1</v>
      </c>
      <c r="B7" s="342"/>
      <c r="C7" s="342"/>
      <c r="D7" s="342"/>
      <c r="E7" s="342"/>
      <c r="F7" s="342"/>
      <c r="G7" s="342"/>
      <c r="H7" s="342"/>
    </row>
    <row r="8" spans="1:8" ht="48" customHeight="1" x14ac:dyDescent="0.25">
      <c r="A8" s="345" t="s">
        <v>77</v>
      </c>
      <c r="B8" s="342"/>
      <c r="C8" s="342"/>
      <c r="D8" s="342"/>
      <c r="E8" s="342"/>
      <c r="F8" s="342"/>
      <c r="G8" s="342"/>
      <c r="H8" s="342"/>
    </row>
    <row r="9" spans="1:8" ht="18.75" x14ac:dyDescent="0.25">
      <c r="A9" s="10"/>
    </row>
    <row r="10" spans="1:8" x14ac:dyDescent="0.25">
      <c r="A10" s="330" t="s">
        <v>19</v>
      </c>
      <c r="B10" s="330" t="s">
        <v>46</v>
      </c>
      <c r="C10" s="330" t="s">
        <v>2</v>
      </c>
      <c r="D10" s="330" t="s">
        <v>47</v>
      </c>
      <c r="E10" s="330" t="s">
        <v>48</v>
      </c>
      <c r="F10" s="330"/>
      <c r="G10" s="330"/>
      <c r="H10" s="330"/>
    </row>
    <row r="11" spans="1:8" x14ac:dyDescent="0.25">
      <c r="A11" s="330"/>
      <c r="B11" s="330"/>
      <c r="C11" s="330"/>
      <c r="D11" s="330"/>
      <c r="E11" s="143">
        <f>'пр к пасп ПП1'!E12</f>
        <v>2019</v>
      </c>
      <c r="F11" s="197">
        <f>'пр к пасп ПП1'!F12</f>
        <v>2020</v>
      </c>
      <c r="G11" s="197">
        <f>'пр к пасп ПП1'!G12</f>
        <v>2021</v>
      </c>
      <c r="H11" s="197">
        <f>'пр к пасп ПП1'!H12</f>
        <v>2022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369" t="str">
        <f>'пр к ПП2'!A13:L13</f>
        <v>Цель. Удовлетворение потребности населения в перевозках.</v>
      </c>
      <c r="B13" s="370"/>
      <c r="C13" s="370"/>
      <c r="D13" s="370"/>
      <c r="E13" s="370"/>
      <c r="F13" s="370"/>
      <c r="G13" s="370"/>
      <c r="H13" s="371"/>
    </row>
    <row r="14" spans="1:8" ht="33" customHeight="1" x14ac:dyDescent="0.25">
      <c r="A14" s="369" t="str">
        <f>'пр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70"/>
      <c r="C14" s="370"/>
      <c r="D14" s="370"/>
      <c r="E14" s="370"/>
      <c r="F14" s="370"/>
      <c r="G14" s="370"/>
      <c r="H14" s="371"/>
    </row>
    <row r="15" spans="1:8" ht="72" customHeight="1" x14ac:dyDescent="0.25">
      <c r="A15" s="11" t="s">
        <v>3</v>
      </c>
      <c r="B15" s="9" t="s">
        <v>137</v>
      </c>
      <c r="C15" s="11" t="s">
        <v>78</v>
      </c>
      <c r="D15" s="11" t="s">
        <v>79</v>
      </c>
      <c r="E15" s="213">
        <v>9.3559999999999999</v>
      </c>
      <c r="F15" s="213">
        <f>E15</f>
        <v>9.3559999999999999</v>
      </c>
      <c r="G15" s="213">
        <f t="shared" ref="G15:H15" si="0">F15</f>
        <v>9.3559999999999999</v>
      </c>
      <c r="H15" s="213">
        <f t="shared" si="0"/>
        <v>9.3559999999999999</v>
      </c>
    </row>
    <row r="16" spans="1:8" ht="72" customHeight="1" x14ac:dyDescent="0.25">
      <c r="A16" s="11" t="s">
        <v>84</v>
      </c>
      <c r="B16" s="9" t="s">
        <v>138</v>
      </c>
      <c r="C16" s="11" t="s">
        <v>80</v>
      </c>
      <c r="D16" s="11" t="s">
        <v>79</v>
      </c>
      <c r="E16" s="213">
        <v>400</v>
      </c>
      <c r="F16" s="213">
        <f>E16</f>
        <v>400</v>
      </c>
      <c r="G16" s="213">
        <f t="shared" ref="G16:H16" si="1">F16</f>
        <v>400</v>
      </c>
      <c r="H16" s="213">
        <f t="shared" si="1"/>
        <v>400</v>
      </c>
    </row>
    <row r="17" spans="1:8" x14ac:dyDescent="0.25">
      <c r="A17" s="360" t="s">
        <v>298</v>
      </c>
      <c r="B17" s="361"/>
      <c r="C17" s="361"/>
      <c r="D17" s="361"/>
      <c r="E17" s="361"/>
      <c r="F17" s="361"/>
      <c r="G17" s="361"/>
      <c r="H17" s="362"/>
    </row>
    <row r="18" spans="1:8" x14ac:dyDescent="0.25">
      <c r="A18" s="363" t="s">
        <v>299</v>
      </c>
      <c r="B18" s="364"/>
      <c r="C18" s="364"/>
      <c r="D18" s="364"/>
      <c r="E18" s="364"/>
      <c r="F18" s="364"/>
      <c r="G18" s="364"/>
      <c r="H18" s="365"/>
    </row>
    <row r="19" spans="1:8" ht="63" x14ac:dyDescent="0.25">
      <c r="A19" s="296">
        <v>1</v>
      </c>
      <c r="B19" s="295" t="s">
        <v>300</v>
      </c>
      <c r="C19" s="296" t="s">
        <v>301</v>
      </c>
      <c r="D19" s="296" t="s">
        <v>302</v>
      </c>
      <c r="E19" s="213">
        <v>0</v>
      </c>
      <c r="F19" s="262">
        <v>5</v>
      </c>
      <c r="G19" s="213"/>
      <c r="H19" s="213">
        <f t="shared" ref="H19" si="2">G19</f>
        <v>0</v>
      </c>
    </row>
    <row r="20" spans="1:8" x14ac:dyDescent="0.25">
      <c r="A20" s="366" t="s">
        <v>303</v>
      </c>
      <c r="B20" s="367"/>
      <c r="C20" s="367"/>
      <c r="D20" s="367"/>
      <c r="E20" s="367"/>
      <c r="F20" s="367"/>
      <c r="G20" s="367"/>
      <c r="H20" s="368"/>
    </row>
    <row r="21" spans="1:8" x14ac:dyDescent="0.25">
      <c r="A21" s="363" t="s">
        <v>304</v>
      </c>
      <c r="B21" s="364"/>
      <c r="C21" s="364"/>
      <c r="D21" s="364"/>
      <c r="E21" s="364"/>
      <c r="F21" s="364"/>
      <c r="G21" s="364"/>
      <c r="H21" s="365"/>
    </row>
    <row r="22" spans="1:8" ht="63" x14ac:dyDescent="0.25">
      <c r="A22" s="296">
        <v>1</v>
      </c>
      <c r="B22" s="295" t="s">
        <v>305</v>
      </c>
      <c r="C22" s="296" t="s">
        <v>301</v>
      </c>
      <c r="D22" s="296" t="s">
        <v>302</v>
      </c>
      <c r="E22" s="213">
        <v>0</v>
      </c>
      <c r="F22" s="263">
        <v>1</v>
      </c>
      <c r="G22" s="213"/>
      <c r="H22" s="213">
        <f t="shared" ref="H22" si="3">G22</f>
        <v>0</v>
      </c>
    </row>
  </sheetData>
  <mergeCells count="15">
    <mergeCell ref="A17:H17"/>
    <mergeCell ref="A18:H18"/>
    <mergeCell ref="A20:H20"/>
    <mergeCell ref="A21:H21"/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BreakPreview" topLeftCell="E16" zoomScale="70" zoomScaleNormal="70" zoomScaleSheetLayoutView="70" workbookViewId="0">
      <selection activeCell="A22" sqref="A22"/>
    </sheetView>
  </sheetViews>
  <sheetFormatPr defaultRowHeight="18.75" outlineLevelRow="1" x14ac:dyDescent="0.25"/>
  <cols>
    <col min="1" max="1" width="4.75" style="192" customWidth="1"/>
    <col min="2" max="2" width="45.25" style="22" customWidth="1"/>
    <col min="3" max="3" width="18.5" style="22" customWidth="1"/>
    <col min="4" max="5" width="7.375" style="22" customWidth="1"/>
    <col min="6" max="6" width="17.75" style="22" customWidth="1"/>
    <col min="7" max="7" width="5.75" style="22" customWidth="1"/>
    <col min="8" max="8" width="16.875" style="22" bestFit="1" customWidth="1"/>
    <col min="9" max="10" width="13.75" style="22" bestFit="1" customWidth="1"/>
    <col min="11" max="11" width="18.625" style="22" customWidth="1"/>
    <col min="12" max="12" width="24.5" style="22" customWidth="1"/>
    <col min="13" max="16384" width="9" style="22"/>
  </cols>
  <sheetData>
    <row r="1" spans="1:12" ht="84" hidden="1" customHeight="1" outlineLevel="1" x14ac:dyDescent="0.3">
      <c r="K1" s="355" t="s">
        <v>253</v>
      </c>
      <c r="L1" s="355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K4" s="356" t="s">
        <v>204</v>
      </c>
      <c r="L4" s="356"/>
    </row>
    <row r="7" spans="1:12" x14ac:dyDescent="0.25">
      <c r="A7" s="359" t="s">
        <v>1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</row>
    <row r="8" spans="1:12" x14ac:dyDescent="0.25">
      <c r="A8" s="359" t="s">
        <v>235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</row>
    <row r="10" spans="1:12" s="26" customFormat="1" ht="32.25" customHeight="1" x14ac:dyDescent="0.25">
      <c r="A10" s="335" t="s">
        <v>19</v>
      </c>
      <c r="B10" s="335" t="s">
        <v>49</v>
      </c>
      <c r="C10" s="335" t="s">
        <v>25</v>
      </c>
      <c r="D10" s="335" t="s">
        <v>23</v>
      </c>
      <c r="E10" s="335"/>
      <c r="F10" s="335"/>
      <c r="G10" s="335"/>
      <c r="H10" s="335" t="s">
        <v>50</v>
      </c>
      <c r="I10" s="335"/>
      <c r="J10" s="335"/>
      <c r="K10" s="335"/>
      <c r="L10" s="335" t="s">
        <v>51</v>
      </c>
    </row>
    <row r="11" spans="1:12" s="26" customFormat="1" ht="85.5" customHeight="1" x14ac:dyDescent="0.25">
      <c r="A11" s="335"/>
      <c r="B11" s="335"/>
      <c r="C11" s="335"/>
      <c r="D11" s="191" t="s">
        <v>25</v>
      </c>
      <c r="E11" s="191" t="s">
        <v>26</v>
      </c>
      <c r="F11" s="191" t="s">
        <v>27</v>
      </c>
      <c r="G11" s="191" t="s">
        <v>28</v>
      </c>
      <c r="H11" s="203">
        <f>'пр 7 к МП'!K$16</f>
        <v>2020</v>
      </c>
      <c r="I11" s="203">
        <f>'пр 7 к МП'!L$16</f>
        <v>2021</v>
      </c>
      <c r="J11" s="203">
        <f>'пр 7 к МП'!M$16</f>
        <v>2022</v>
      </c>
      <c r="K11" s="191" t="s">
        <v>52</v>
      </c>
      <c r="L11" s="335"/>
    </row>
    <row r="12" spans="1:12" s="26" customFormat="1" ht="15.75" x14ac:dyDescent="0.25">
      <c r="A12" s="191">
        <v>1</v>
      </c>
      <c r="B12" s="191">
        <v>2</v>
      </c>
      <c r="C12" s="191">
        <v>3</v>
      </c>
      <c r="D12" s="191">
        <v>4</v>
      </c>
      <c r="E12" s="191">
        <v>5</v>
      </c>
      <c r="F12" s="191">
        <v>6</v>
      </c>
      <c r="G12" s="191">
        <v>7</v>
      </c>
      <c r="H12" s="191">
        <v>8</v>
      </c>
      <c r="I12" s="191">
        <v>9</v>
      </c>
      <c r="J12" s="191">
        <v>10</v>
      </c>
      <c r="K12" s="191">
        <v>11</v>
      </c>
      <c r="L12" s="191">
        <v>12</v>
      </c>
    </row>
    <row r="13" spans="1:12" s="27" customFormat="1" ht="18.75" customHeight="1" x14ac:dyDescent="0.25">
      <c r="A13" s="354" t="s">
        <v>166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</row>
    <row r="14" spans="1:12" s="27" customFormat="1" ht="15.75" x14ac:dyDescent="0.25">
      <c r="A14" s="354" t="s">
        <v>124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</row>
    <row r="15" spans="1:12" s="26" customFormat="1" ht="47.25" x14ac:dyDescent="0.25">
      <c r="A15" s="335" t="s">
        <v>3</v>
      </c>
      <c r="B15" s="333" t="s">
        <v>105</v>
      </c>
      <c r="C15" s="189" t="s">
        <v>65</v>
      </c>
      <c r="D15" s="191">
        <v>241</v>
      </c>
      <c r="E15" s="191" t="s">
        <v>64</v>
      </c>
      <c r="F15" s="139" t="s">
        <v>174</v>
      </c>
      <c r="G15" s="191">
        <v>811</v>
      </c>
      <c r="H15" s="72">
        <v>112577.09299999999</v>
      </c>
      <c r="I15" s="72">
        <f>H15</f>
        <v>112577.09299999999</v>
      </c>
      <c r="J15" s="72">
        <f>I15</f>
        <v>112577.09299999999</v>
      </c>
      <c r="K15" s="73">
        <f>SUM(H15:J15)</f>
        <v>337731.27899999998</v>
      </c>
      <c r="L15" s="335" t="s">
        <v>121</v>
      </c>
    </row>
    <row r="16" spans="1:12" s="26" customFormat="1" ht="31.5" x14ac:dyDescent="0.25">
      <c r="A16" s="335"/>
      <c r="B16" s="333"/>
      <c r="C16" s="158" t="s">
        <v>267</v>
      </c>
      <c r="D16" s="124" t="s">
        <v>30</v>
      </c>
      <c r="E16" s="124" t="s">
        <v>30</v>
      </c>
      <c r="F16" s="124" t="s">
        <v>30</v>
      </c>
      <c r="G16" s="124" t="s">
        <v>30</v>
      </c>
      <c r="H16" s="159">
        <f t="shared" ref="H16:I16" si="0">H15</f>
        <v>112577.09299999999</v>
      </c>
      <c r="I16" s="159">
        <f t="shared" si="0"/>
        <v>112577.09299999999</v>
      </c>
      <c r="J16" s="159">
        <f t="shared" ref="J16" si="1">J15</f>
        <v>112577.09299999999</v>
      </c>
      <c r="K16" s="140">
        <f t="shared" ref="K16:K18" si="2">SUM(H16:J16)</f>
        <v>337731.27899999998</v>
      </c>
      <c r="L16" s="335"/>
    </row>
    <row r="17" spans="1:12" s="26" customFormat="1" ht="47.25" x14ac:dyDescent="0.25">
      <c r="A17" s="335" t="s">
        <v>84</v>
      </c>
      <c r="B17" s="333" t="s">
        <v>106</v>
      </c>
      <c r="C17" s="189" t="s">
        <v>65</v>
      </c>
      <c r="D17" s="191">
        <v>241</v>
      </c>
      <c r="E17" s="191" t="s">
        <v>64</v>
      </c>
      <c r="F17" s="139" t="s">
        <v>175</v>
      </c>
      <c r="G17" s="191">
        <v>540</v>
      </c>
      <c r="H17" s="72">
        <v>28161.701000000001</v>
      </c>
      <c r="I17" s="72">
        <f>H17</f>
        <v>28161.701000000001</v>
      </c>
      <c r="J17" s="72">
        <f>I17</f>
        <v>28161.701000000001</v>
      </c>
      <c r="K17" s="73">
        <f t="shared" si="2"/>
        <v>84485.103000000003</v>
      </c>
      <c r="L17" s="335" t="s">
        <v>121</v>
      </c>
    </row>
    <row r="18" spans="1:12" s="26" customFormat="1" ht="31.5" x14ac:dyDescent="0.25">
      <c r="A18" s="335"/>
      <c r="B18" s="333"/>
      <c r="C18" s="158" t="s">
        <v>267</v>
      </c>
      <c r="D18" s="124" t="s">
        <v>30</v>
      </c>
      <c r="E18" s="124" t="s">
        <v>30</v>
      </c>
      <c r="F18" s="124" t="s">
        <v>30</v>
      </c>
      <c r="G18" s="124" t="s">
        <v>30</v>
      </c>
      <c r="H18" s="159">
        <f t="shared" ref="H18" si="3">H17</f>
        <v>28161.701000000001</v>
      </c>
      <c r="I18" s="159">
        <f t="shared" ref="I18:J18" si="4">I17</f>
        <v>28161.701000000001</v>
      </c>
      <c r="J18" s="159">
        <f t="shared" si="4"/>
        <v>28161.701000000001</v>
      </c>
      <c r="K18" s="140">
        <f t="shared" si="2"/>
        <v>84485.103000000003</v>
      </c>
      <c r="L18" s="335"/>
    </row>
    <row r="19" spans="1:12" s="27" customFormat="1" ht="15.75" outlineLevel="1" x14ac:dyDescent="0.25">
      <c r="A19" s="354" t="s">
        <v>243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</row>
    <row r="20" spans="1:12" s="26" customFormat="1" ht="78.75" outlineLevel="1" x14ac:dyDescent="0.25">
      <c r="A20" s="335" t="s">
        <v>85</v>
      </c>
      <c r="B20" s="333" t="s">
        <v>212</v>
      </c>
      <c r="C20" s="189" t="s">
        <v>95</v>
      </c>
      <c r="D20" s="191">
        <v>242</v>
      </c>
      <c r="E20" s="139" t="s">
        <v>213</v>
      </c>
      <c r="F20" s="139" t="s">
        <v>228</v>
      </c>
      <c r="G20" s="191">
        <v>244</v>
      </c>
      <c r="H20" s="195">
        <v>0</v>
      </c>
      <c r="I20" s="72">
        <v>0</v>
      </c>
      <c r="J20" s="72">
        <v>0</v>
      </c>
      <c r="K20" s="73">
        <f t="shared" ref="K20:K21" si="5">SUM(H20:J20)</f>
        <v>0</v>
      </c>
      <c r="L20" s="335"/>
    </row>
    <row r="21" spans="1:12" s="26" customFormat="1" ht="31.5" outlineLevel="1" x14ac:dyDescent="0.25">
      <c r="A21" s="335"/>
      <c r="B21" s="333"/>
      <c r="C21" s="158" t="s">
        <v>229</v>
      </c>
      <c r="D21" s="124" t="s">
        <v>30</v>
      </c>
      <c r="E21" s="124" t="s">
        <v>30</v>
      </c>
      <c r="F21" s="124" t="s">
        <v>30</v>
      </c>
      <c r="G21" s="124" t="s">
        <v>30</v>
      </c>
      <c r="H21" s="159">
        <f>H20</f>
        <v>0</v>
      </c>
      <c r="I21" s="159">
        <f t="shared" ref="I21:I23" si="6">I20</f>
        <v>0</v>
      </c>
      <c r="J21" s="159">
        <f t="shared" ref="J21:J23" si="7">J20</f>
        <v>0</v>
      </c>
      <c r="K21" s="140">
        <f t="shared" si="5"/>
        <v>0</v>
      </c>
      <c r="L21" s="335"/>
    </row>
    <row r="22" spans="1:12" s="26" customFormat="1" ht="78.75" outlineLevel="1" x14ac:dyDescent="0.25">
      <c r="A22" s="335" t="s">
        <v>288</v>
      </c>
      <c r="B22" s="333" t="s">
        <v>263</v>
      </c>
      <c r="C22" s="190" t="s">
        <v>66</v>
      </c>
      <c r="D22" s="191">
        <v>247</v>
      </c>
      <c r="E22" s="139" t="s">
        <v>64</v>
      </c>
      <c r="F22" s="139" t="s">
        <v>262</v>
      </c>
      <c r="G22" s="191">
        <v>540</v>
      </c>
      <c r="H22" s="195"/>
      <c r="I22" s="72"/>
      <c r="J22" s="72"/>
      <c r="K22" s="73">
        <f t="shared" ref="K22:K23" si="8">SUM(H22:J22)</f>
        <v>0</v>
      </c>
      <c r="L22" s="191"/>
    </row>
    <row r="23" spans="1:12" s="26" customFormat="1" ht="31.5" outlineLevel="1" x14ac:dyDescent="0.25">
      <c r="A23" s="335"/>
      <c r="B23" s="333"/>
      <c r="C23" s="158" t="s">
        <v>229</v>
      </c>
      <c r="D23" s="124" t="s">
        <v>30</v>
      </c>
      <c r="E23" s="124" t="s">
        <v>30</v>
      </c>
      <c r="F23" s="124" t="s">
        <v>30</v>
      </c>
      <c r="G23" s="124" t="s">
        <v>30</v>
      </c>
      <c r="H23" s="159">
        <f>H22</f>
        <v>0</v>
      </c>
      <c r="I23" s="159">
        <f t="shared" si="6"/>
        <v>0</v>
      </c>
      <c r="J23" s="159">
        <f t="shared" si="7"/>
        <v>0</v>
      </c>
      <c r="K23" s="140">
        <f t="shared" si="8"/>
        <v>0</v>
      </c>
      <c r="L23" s="191"/>
    </row>
    <row r="24" spans="1:12" s="26" customFormat="1" ht="15.75" outlineLevel="1" x14ac:dyDescent="0.25">
      <c r="A24" s="366" t="s">
        <v>289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3"/>
    </row>
    <row r="25" spans="1:12" s="26" customFormat="1" ht="47.25" outlineLevel="1" x14ac:dyDescent="0.25">
      <c r="A25" s="351" t="s">
        <v>117</v>
      </c>
      <c r="B25" s="346" t="s">
        <v>290</v>
      </c>
      <c r="C25" s="255" t="s">
        <v>65</v>
      </c>
      <c r="D25" s="257" t="s">
        <v>291</v>
      </c>
      <c r="E25" s="257" t="s">
        <v>64</v>
      </c>
      <c r="F25" s="257" t="s">
        <v>292</v>
      </c>
      <c r="G25" s="257"/>
      <c r="H25" s="258">
        <v>4320</v>
      </c>
      <c r="I25" s="258">
        <v>4320</v>
      </c>
      <c r="J25" s="258">
        <v>4320</v>
      </c>
      <c r="K25" s="259">
        <f>SUM(H25:J25)</f>
        <v>12960</v>
      </c>
      <c r="L25" s="256"/>
    </row>
    <row r="26" spans="1:12" s="26" customFormat="1" ht="31.5" outlineLevel="1" x14ac:dyDescent="0.25">
      <c r="A26" s="352"/>
      <c r="B26" s="348"/>
      <c r="C26" s="158" t="s">
        <v>267</v>
      </c>
      <c r="D26" s="124" t="s">
        <v>30</v>
      </c>
      <c r="E26" s="124" t="s">
        <v>30</v>
      </c>
      <c r="F26" s="124" t="s">
        <v>30</v>
      </c>
      <c r="G26" s="124" t="s">
        <v>30</v>
      </c>
      <c r="H26" s="159">
        <f>SUM(H25)</f>
        <v>4320</v>
      </c>
      <c r="I26" s="159">
        <f t="shared" ref="I26:K29" si="9">SUM(I25)</f>
        <v>4320</v>
      </c>
      <c r="J26" s="159">
        <f t="shared" si="9"/>
        <v>4320</v>
      </c>
      <c r="K26" s="159">
        <f t="shared" si="9"/>
        <v>12960</v>
      </c>
      <c r="L26" s="256"/>
    </row>
    <row r="27" spans="1:12" s="26" customFormat="1" ht="15.75" outlineLevel="1" x14ac:dyDescent="0.25">
      <c r="A27" s="374" t="s">
        <v>322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  <c r="L27" s="296"/>
    </row>
    <row r="28" spans="1:12" s="26" customFormat="1" ht="63" customHeight="1" outlineLevel="1" x14ac:dyDescent="0.25">
      <c r="A28" s="351"/>
      <c r="B28" s="349" t="s">
        <v>306</v>
      </c>
      <c r="C28" s="294" t="s">
        <v>65</v>
      </c>
      <c r="D28" s="257" t="s">
        <v>291</v>
      </c>
      <c r="E28" s="257" t="s">
        <v>68</v>
      </c>
      <c r="F28" s="257" t="s">
        <v>320</v>
      </c>
      <c r="G28" s="257" t="s">
        <v>319</v>
      </c>
      <c r="H28" s="258">
        <v>15800</v>
      </c>
      <c r="I28" s="258">
        <v>0</v>
      </c>
      <c r="J28" s="258">
        <v>0</v>
      </c>
      <c r="K28" s="258">
        <f>SUM(H28:J28)</f>
        <v>15800</v>
      </c>
      <c r="L28" s="296"/>
    </row>
    <row r="29" spans="1:12" s="26" customFormat="1" ht="31.5" outlineLevel="1" x14ac:dyDescent="0.25">
      <c r="A29" s="352"/>
      <c r="B29" s="350"/>
      <c r="C29" s="158" t="s">
        <v>267</v>
      </c>
      <c r="D29" s="124" t="s">
        <v>30</v>
      </c>
      <c r="E29" s="124" t="s">
        <v>30</v>
      </c>
      <c r="F29" s="124" t="s">
        <v>30</v>
      </c>
      <c r="G29" s="124" t="s">
        <v>30</v>
      </c>
      <c r="H29" s="159">
        <f>SUM(H28)</f>
        <v>15800</v>
      </c>
      <c r="I29" s="159">
        <f t="shared" si="9"/>
        <v>0</v>
      </c>
      <c r="J29" s="159">
        <f t="shared" si="9"/>
        <v>0</v>
      </c>
      <c r="K29" s="159">
        <f t="shared" si="9"/>
        <v>15800</v>
      </c>
      <c r="L29" s="296"/>
    </row>
    <row r="30" spans="1:12" s="26" customFormat="1" ht="15.75" outlineLevel="1" x14ac:dyDescent="0.25">
      <c r="A30" s="374" t="s">
        <v>323</v>
      </c>
      <c r="B30" s="375"/>
      <c r="C30" s="375"/>
      <c r="D30" s="375"/>
      <c r="E30" s="375"/>
      <c r="F30" s="375"/>
      <c r="G30" s="375"/>
      <c r="H30" s="375"/>
      <c r="I30" s="375"/>
      <c r="J30" s="375"/>
      <c r="K30" s="376"/>
      <c r="L30" s="296"/>
    </row>
    <row r="31" spans="1:12" s="26" customFormat="1" ht="47.25" outlineLevel="1" x14ac:dyDescent="0.25">
      <c r="A31" s="351"/>
      <c r="B31" s="349" t="s">
        <v>307</v>
      </c>
      <c r="C31" s="294" t="s">
        <v>65</v>
      </c>
      <c r="D31" s="257" t="s">
        <v>291</v>
      </c>
      <c r="E31" s="257" t="s">
        <v>68</v>
      </c>
      <c r="F31" s="257" t="s">
        <v>321</v>
      </c>
      <c r="G31" s="257" t="s">
        <v>319</v>
      </c>
      <c r="H31" s="258">
        <v>2500</v>
      </c>
      <c r="I31" s="258">
        <v>0</v>
      </c>
      <c r="J31" s="258">
        <v>0</v>
      </c>
      <c r="K31" s="258">
        <f>SUM(H31:J31)</f>
        <v>2500</v>
      </c>
      <c r="L31" s="296"/>
    </row>
    <row r="32" spans="1:12" s="26" customFormat="1" ht="31.5" outlineLevel="1" x14ac:dyDescent="0.25">
      <c r="A32" s="352"/>
      <c r="B32" s="350"/>
      <c r="C32" s="158" t="s">
        <v>267</v>
      </c>
      <c r="D32" s="124" t="s">
        <v>30</v>
      </c>
      <c r="E32" s="124" t="s">
        <v>30</v>
      </c>
      <c r="F32" s="124" t="s">
        <v>30</v>
      </c>
      <c r="G32" s="124" t="s">
        <v>30</v>
      </c>
      <c r="H32" s="159">
        <f>SUM(H31)</f>
        <v>2500</v>
      </c>
      <c r="I32" s="159">
        <f t="shared" ref="I32:K32" si="10">SUM(I31)</f>
        <v>0</v>
      </c>
      <c r="J32" s="159">
        <f t="shared" si="10"/>
        <v>0</v>
      </c>
      <c r="K32" s="159">
        <f t="shared" si="10"/>
        <v>2500</v>
      </c>
      <c r="L32" s="296"/>
    </row>
    <row r="33" spans="1:12" s="160" customFormat="1" ht="19.5" customHeight="1" x14ac:dyDescent="0.25">
      <c r="A33" s="120"/>
      <c r="B33" s="121" t="s">
        <v>120</v>
      </c>
      <c r="C33" s="120" t="s">
        <v>30</v>
      </c>
      <c r="D33" s="120" t="s">
        <v>30</v>
      </c>
      <c r="E33" s="120" t="s">
        <v>30</v>
      </c>
      <c r="F33" s="120" t="s">
        <v>30</v>
      </c>
      <c r="G33" s="120" t="s">
        <v>30</v>
      </c>
      <c r="H33" s="122">
        <f>H16+H18+H26+H29+H32</f>
        <v>163358.79399999999</v>
      </c>
      <c r="I33" s="122">
        <f t="shared" ref="I33:K33" si="11">I16+I18+I26+I29+I32</f>
        <v>145058.79399999999</v>
      </c>
      <c r="J33" s="122">
        <f t="shared" si="11"/>
        <v>145058.79399999999</v>
      </c>
      <c r="K33" s="122">
        <f t="shared" si="11"/>
        <v>453476.38199999998</v>
      </c>
      <c r="L33" s="120" t="s">
        <v>30</v>
      </c>
    </row>
    <row r="35" spans="1:12" x14ac:dyDescent="0.25">
      <c r="H35" s="42">
        <f>H15/1000</f>
        <v>112.57709299999999</v>
      </c>
      <c r="I35" s="42">
        <f>I15/1000</f>
        <v>112.57709299999999</v>
      </c>
      <c r="J35" s="42">
        <f>J15/1000</f>
        <v>112.57709299999999</v>
      </c>
      <c r="K35" s="42">
        <f>K15/1000</f>
        <v>337.73127899999997</v>
      </c>
    </row>
    <row r="36" spans="1:12" s="24" customFormat="1" x14ac:dyDescent="0.25">
      <c r="A36" s="25"/>
      <c r="H36" s="42">
        <f>H17/1000</f>
        <v>28.161701000000001</v>
      </c>
      <c r="I36" s="42">
        <f>I17/1000</f>
        <v>28.161701000000001</v>
      </c>
      <c r="J36" s="42">
        <f>J17/1000</f>
        <v>28.161701000000001</v>
      </c>
      <c r="K36" s="42">
        <f>K17/1000</f>
        <v>84.485103000000009</v>
      </c>
    </row>
    <row r="37" spans="1:12" s="24" customFormat="1" x14ac:dyDescent="0.25">
      <c r="A37" s="25"/>
      <c r="H37" s="42">
        <f t="shared" ref="H37:K37" si="12">H33/1000</f>
        <v>163.35879399999999</v>
      </c>
      <c r="I37" s="42">
        <f t="shared" si="12"/>
        <v>145.05879400000001</v>
      </c>
      <c r="J37" s="42">
        <f t="shared" si="12"/>
        <v>145.05879400000001</v>
      </c>
      <c r="K37" s="42">
        <f t="shared" si="12"/>
        <v>453.476382</v>
      </c>
    </row>
    <row r="38" spans="1:12" s="24" customFormat="1" x14ac:dyDescent="0.25">
      <c r="A38" s="25"/>
    </row>
  </sheetData>
  <autoFilter ref="A10:L35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33">
    <mergeCell ref="B28:B29"/>
    <mergeCell ref="A28:A29"/>
    <mergeCell ref="A27:K27"/>
    <mergeCell ref="A30:K30"/>
    <mergeCell ref="A31:A32"/>
    <mergeCell ref="B31:B32"/>
    <mergeCell ref="K1:L1"/>
    <mergeCell ref="A17:A18"/>
    <mergeCell ref="A20:A21"/>
    <mergeCell ref="B20:B21"/>
    <mergeCell ref="A19:L19"/>
    <mergeCell ref="L17:L18"/>
    <mergeCell ref="L20:L21"/>
    <mergeCell ref="B17:B18"/>
    <mergeCell ref="A15:A16"/>
    <mergeCell ref="B15:B16"/>
    <mergeCell ref="A14:L14"/>
    <mergeCell ref="K4:L4"/>
    <mergeCell ref="A7:L7"/>
    <mergeCell ref="A8:L8"/>
    <mergeCell ref="A24:L24"/>
    <mergeCell ref="B25:B26"/>
    <mergeCell ref="A25:A26"/>
    <mergeCell ref="A10:A11"/>
    <mergeCell ref="B10:B11"/>
    <mergeCell ref="L15:L16"/>
    <mergeCell ref="C10:C11"/>
    <mergeCell ref="D10:G10"/>
    <mergeCell ref="H10:K10"/>
    <mergeCell ref="L10:L11"/>
    <mergeCell ref="A13:L13"/>
    <mergeCell ref="A22:A23"/>
    <mergeCell ref="B22:B23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view="pageBreakPreview" topLeftCell="A4" zoomScaleNormal="85" zoomScaleSheetLayoutView="100" workbookViewId="0">
      <selection activeCell="A22" sqref="A22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4.625" style="1" customWidth="1"/>
    <col min="9" max="16384" width="9" style="1"/>
  </cols>
  <sheetData>
    <row r="1" spans="1:8" ht="78.75" hidden="1" customHeight="1" outlineLevel="1" x14ac:dyDescent="0.25">
      <c r="F1" s="338" t="s">
        <v>255</v>
      </c>
      <c r="G1" s="338"/>
      <c r="H1" s="338"/>
    </row>
    <row r="2" spans="1:8" hidden="1" outlineLevel="1" x14ac:dyDescent="0.25"/>
    <row r="3" spans="1:8" hidden="1" outlineLevel="1" x14ac:dyDescent="0.25"/>
    <row r="4" spans="1:8" ht="78.75" customHeight="1" collapsed="1" x14ac:dyDescent="0.25">
      <c r="F4" s="339" t="s">
        <v>205</v>
      </c>
      <c r="G4" s="339"/>
      <c r="H4" s="339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342" t="s">
        <v>1</v>
      </c>
      <c r="B7" s="342"/>
      <c r="C7" s="342"/>
      <c r="D7" s="342"/>
      <c r="E7" s="342"/>
      <c r="F7" s="342"/>
      <c r="G7" s="342"/>
      <c r="H7" s="342"/>
    </row>
    <row r="8" spans="1:8" ht="48" customHeight="1" x14ac:dyDescent="0.25">
      <c r="A8" s="345" t="s">
        <v>81</v>
      </c>
      <c r="B8" s="342"/>
      <c r="C8" s="342"/>
      <c r="D8" s="342"/>
      <c r="E8" s="342"/>
      <c r="F8" s="342"/>
      <c r="G8" s="342"/>
      <c r="H8" s="342"/>
    </row>
    <row r="9" spans="1:8" ht="18.75" x14ac:dyDescent="0.25">
      <c r="A9" s="10"/>
    </row>
    <row r="10" spans="1:8" x14ac:dyDescent="0.25">
      <c r="A10" s="330" t="s">
        <v>19</v>
      </c>
      <c r="B10" s="330" t="s">
        <v>46</v>
      </c>
      <c r="C10" s="330" t="s">
        <v>2</v>
      </c>
      <c r="D10" s="330" t="s">
        <v>47</v>
      </c>
      <c r="E10" s="330" t="s">
        <v>48</v>
      </c>
      <c r="F10" s="330"/>
      <c r="G10" s="330"/>
      <c r="H10" s="330"/>
    </row>
    <row r="11" spans="1:8" x14ac:dyDescent="0.25">
      <c r="A11" s="330"/>
      <c r="B11" s="330"/>
      <c r="C11" s="330"/>
      <c r="D11" s="330"/>
      <c r="E11" s="197">
        <v>2019</v>
      </c>
      <c r="F11" s="197">
        <v>2020</v>
      </c>
      <c r="G11" s="253">
        <v>2021</v>
      </c>
      <c r="H11" s="197">
        <v>2022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344" t="str">
        <f>'пр к ПП3'!A13:L13</f>
        <v>Цель. Снижение числа лиц, погибших в результате ДТП, и количества ДТП с пострадавшими.</v>
      </c>
      <c r="B13" s="344"/>
      <c r="C13" s="344"/>
      <c r="D13" s="344"/>
      <c r="E13" s="344"/>
      <c r="F13" s="344"/>
      <c r="G13" s="344"/>
      <c r="H13" s="344"/>
    </row>
    <row r="14" spans="1:8" ht="41.25" customHeight="1" x14ac:dyDescent="0.25">
      <c r="A14" s="344" t="str">
        <f>'пр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44"/>
      <c r="C14" s="344"/>
      <c r="D14" s="344"/>
      <c r="E14" s="344"/>
      <c r="F14" s="344"/>
      <c r="G14" s="344"/>
      <c r="H14" s="344"/>
    </row>
    <row r="15" spans="1:8" s="47" customFormat="1" ht="63" x14ac:dyDescent="0.25">
      <c r="A15" s="45" t="s">
        <v>3</v>
      </c>
      <c r="B15" s="21" t="s">
        <v>140</v>
      </c>
      <c r="C15" s="45" t="s">
        <v>142</v>
      </c>
      <c r="D15" s="229" t="s">
        <v>146</v>
      </c>
      <c r="E15" s="230">
        <v>6</v>
      </c>
      <c r="F15" s="230">
        <v>7</v>
      </c>
      <c r="G15" s="230">
        <f t="shared" ref="G15:H15" si="0">G16/G17*100000</f>
        <v>6.5509335080248929</v>
      </c>
      <c r="H15" s="230">
        <f t="shared" si="0"/>
        <v>6.6653335999466776</v>
      </c>
    </row>
    <row r="16" spans="1:8" s="149" customFormat="1" ht="31.5" hidden="1" outlineLevel="1" x14ac:dyDescent="0.25">
      <c r="A16" s="36"/>
      <c r="B16" s="35" t="s">
        <v>82</v>
      </c>
      <c r="C16" s="36"/>
      <c r="D16" s="36"/>
      <c r="E16" s="231">
        <f>'пр к пасп'!I26</f>
        <v>3</v>
      </c>
      <c r="F16" s="231">
        <f>'пр к пасп'!J26</f>
        <v>1</v>
      </c>
      <c r="G16" s="231">
        <f>'пр к пасп'!K26</f>
        <v>1</v>
      </c>
      <c r="H16" s="231">
        <f>'пр к пасп'!L26</f>
        <v>1</v>
      </c>
    </row>
    <row r="17" spans="1:8" s="149" customFormat="1" hidden="1" outlineLevel="1" x14ac:dyDescent="0.25">
      <c r="A17" s="36"/>
      <c r="B17" s="35" t="s">
        <v>125</v>
      </c>
      <c r="C17" s="36"/>
      <c r="D17" s="36"/>
      <c r="E17" s="231">
        <f>'пр к пасп'!I24</f>
        <v>15825</v>
      </c>
      <c r="F17" s="231">
        <f>'пр к пасп'!J24</f>
        <v>15539</v>
      </c>
      <c r="G17" s="231">
        <f>'пр к пасп'!K24</f>
        <v>15265</v>
      </c>
      <c r="H17" s="231">
        <f>'пр к пасп'!L24</f>
        <v>15003</v>
      </c>
    </row>
    <row r="18" spans="1:8" s="149" customFormat="1" hidden="1" outlineLevel="1" x14ac:dyDescent="0.25">
      <c r="A18" s="36"/>
      <c r="B18" s="35" t="s">
        <v>236</v>
      </c>
      <c r="C18" s="36"/>
      <c r="D18" s="36"/>
      <c r="E18" s="231">
        <v>3979</v>
      </c>
      <c r="F18" s="231">
        <f>ROUND(F17/E17*E18,0)</f>
        <v>3907</v>
      </c>
      <c r="G18" s="231">
        <f t="shared" ref="G18:H18" si="1">ROUND(G17/F17*F18,0)</f>
        <v>3838</v>
      </c>
      <c r="H18" s="231">
        <f t="shared" si="1"/>
        <v>3772</v>
      </c>
    </row>
    <row r="19" spans="1:8" s="46" customFormat="1" ht="63" collapsed="1" x14ac:dyDescent="0.25">
      <c r="A19" s="14" t="s">
        <v>84</v>
      </c>
      <c r="B19" s="44" t="s">
        <v>141</v>
      </c>
      <c r="C19" s="43" t="s">
        <v>143</v>
      </c>
      <c r="D19" s="228" t="s">
        <v>146</v>
      </c>
      <c r="E19" s="230">
        <v>3</v>
      </c>
      <c r="F19" s="230">
        <f t="shared" ref="F19:H19" si="2">F16/F18*10000</f>
        <v>2.5595085743537238</v>
      </c>
      <c r="G19" s="230">
        <f t="shared" si="2"/>
        <v>2.6055237102657633</v>
      </c>
      <c r="H19" s="230">
        <f t="shared" si="2"/>
        <v>2.6511134676564159</v>
      </c>
    </row>
    <row r="20" spans="1:8" s="46" customFormat="1" ht="31.5" x14ac:dyDescent="0.25">
      <c r="A20" s="43" t="s">
        <v>86</v>
      </c>
      <c r="B20" s="44" t="s">
        <v>144</v>
      </c>
      <c r="C20" s="43" t="s">
        <v>145</v>
      </c>
      <c r="D20" s="228" t="s">
        <v>146</v>
      </c>
      <c r="E20" s="230">
        <v>0</v>
      </c>
      <c r="F20" s="230">
        <v>0</v>
      </c>
      <c r="G20" s="230">
        <v>0</v>
      </c>
      <c r="H20" s="230">
        <v>0</v>
      </c>
    </row>
    <row r="21" spans="1:8" ht="63" x14ac:dyDescent="0.25">
      <c r="A21" s="264" t="s">
        <v>87</v>
      </c>
      <c r="B21" s="268" t="s">
        <v>308</v>
      </c>
      <c r="C21" s="264" t="s">
        <v>135</v>
      </c>
      <c r="D21" s="264" t="s">
        <v>309</v>
      </c>
      <c r="E21" s="264">
        <v>5</v>
      </c>
      <c r="F21" s="264">
        <v>10</v>
      </c>
      <c r="G21" s="264">
        <v>20</v>
      </c>
      <c r="H21" s="264">
        <v>30</v>
      </c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2" fitToHeight="0" orientation="landscape" r:id="rId1"/>
  <rowBreaks count="1" manualBreakCount="1">
    <brk id="16" max="16383" man="1"/>
  </rowBreaks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8"/>
  <sheetViews>
    <sheetView view="pageBreakPreview" topLeftCell="A5" zoomScale="85" zoomScaleNormal="85" zoomScaleSheetLayoutView="85" workbookViewId="0">
      <selection activeCell="A22" sqref="A22"/>
    </sheetView>
  </sheetViews>
  <sheetFormatPr defaultRowHeight="18.75" outlineLevelRow="2" x14ac:dyDescent="0.25"/>
  <cols>
    <col min="1" max="1" width="4.75" style="199" customWidth="1"/>
    <col min="2" max="2" width="38.625" style="22" customWidth="1"/>
    <col min="3" max="3" width="23.5" style="22" customWidth="1"/>
    <col min="4" max="4" width="6.125" style="22" customWidth="1"/>
    <col min="5" max="5" width="6.875" style="22" customWidth="1"/>
    <col min="6" max="6" width="12" style="22" customWidth="1"/>
    <col min="7" max="7" width="5.75" style="22" customWidth="1"/>
    <col min="8" max="8" width="11.375" style="22" customWidth="1"/>
    <col min="9" max="10" width="9.625" style="22" customWidth="1"/>
    <col min="11" max="11" width="17" style="22" customWidth="1"/>
    <col min="12" max="12" width="24.5" style="22" customWidth="1"/>
    <col min="13" max="16384" width="9" style="22"/>
  </cols>
  <sheetData>
    <row r="1" spans="1:12" ht="84" hidden="1" customHeight="1" outlineLevel="1" x14ac:dyDescent="0.3">
      <c r="K1" s="355" t="s">
        <v>253</v>
      </c>
      <c r="L1" s="355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K4" s="356" t="s">
        <v>206</v>
      </c>
      <c r="L4" s="356"/>
    </row>
    <row r="7" spans="1:12" x14ac:dyDescent="0.25">
      <c r="A7" s="359" t="s">
        <v>1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</row>
    <row r="8" spans="1:12" x14ac:dyDescent="0.25">
      <c r="A8" s="359" t="s">
        <v>67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</row>
    <row r="10" spans="1:12" s="26" customFormat="1" ht="15.75" x14ac:dyDescent="0.25">
      <c r="A10" s="335" t="s">
        <v>19</v>
      </c>
      <c r="B10" s="335" t="s">
        <v>49</v>
      </c>
      <c r="C10" s="335" t="s">
        <v>25</v>
      </c>
      <c r="D10" s="335" t="s">
        <v>23</v>
      </c>
      <c r="E10" s="335"/>
      <c r="F10" s="335"/>
      <c r="G10" s="335"/>
      <c r="H10" s="335" t="s">
        <v>50</v>
      </c>
      <c r="I10" s="335"/>
      <c r="J10" s="335"/>
      <c r="K10" s="335"/>
      <c r="L10" s="335" t="s">
        <v>51</v>
      </c>
    </row>
    <row r="11" spans="1:12" s="26" customFormat="1" ht="93" customHeight="1" x14ac:dyDescent="0.25">
      <c r="A11" s="335"/>
      <c r="B11" s="335"/>
      <c r="C11" s="335"/>
      <c r="D11" s="198" t="s">
        <v>25</v>
      </c>
      <c r="E11" s="198" t="s">
        <v>26</v>
      </c>
      <c r="F11" s="198" t="s">
        <v>27</v>
      </c>
      <c r="G11" s="198" t="s">
        <v>28</v>
      </c>
      <c r="H11" s="203">
        <f>'пр 7 к МП'!K$16</f>
        <v>2020</v>
      </c>
      <c r="I11" s="203">
        <f>'пр 7 к МП'!L$16</f>
        <v>2021</v>
      </c>
      <c r="J11" s="203">
        <f>'пр 7 к МП'!M$16</f>
        <v>2022</v>
      </c>
      <c r="K11" s="198" t="s">
        <v>52</v>
      </c>
      <c r="L11" s="335"/>
    </row>
    <row r="12" spans="1:12" s="26" customFormat="1" ht="15.75" x14ac:dyDescent="0.25">
      <c r="A12" s="198">
        <v>1</v>
      </c>
      <c r="B12" s="198">
        <v>2</v>
      </c>
      <c r="C12" s="198">
        <v>3</v>
      </c>
      <c r="D12" s="198">
        <v>4</v>
      </c>
      <c r="E12" s="198">
        <v>5</v>
      </c>
      <c r="F12" s="198">
        <v>6</v>
      </c>
      <c r="G12" s="198">
        <v>7</v>
      </c>
      <c r="H12" s="198">
        <v>8</v>
      </c>
      <c r="I12" s="198">
        <v>9</v>
      </c>
      <c r="J12" s="198">
        <v>10</v>
      </c>
      <c r="K12" s="198">
        <v>11</v>
      </c>
      <c r="L12" s="198">
        <v>12</v>
      </c>
    </row>
    <row r="13" spans="1:12" s="27" customFormat="1" ht="18.75" customHeight="1" x14ac:dyDescent="0.25">
      <c r="A13" s="384" t="s">
        <v>169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</row>
    <row r="14" spans="1:12" s="27" customFormat="1" ht="15.75" x14ac:dyDescent="0.25">
      <c r="A14" s="384" t="s">
        <v>170</v>
      </c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</row>
    <row r="15" spans="1:12" s="28" customFormat="1" ht="32.25" customHeight="1" outlineLevel="2" x14ac:dyDescent="0.25">
      <c r="A15" s="335" t="s">
        <v>3</v>
      </c>
      <c r="B15" s="378" t="s">
        <v>237</v>
      </c>
      <c r="C15" s="378" t="s">
        <v>217</v>
      </c>
      <c r="D15" s="377">
        <v>243</v>
      </c>
      <c r="E15" s="379" t="s">
        <v>215</v>
      </c>
      <c r="F15" s="202" t="s">
        <v>214</v>
      </c>
      <c r="G15" s="377">
        <v>244</v>
      </c>
      <c r="H15" s="155">
        <v>0</v>
      </c>
      <c r="I15" s="155">
        <v>0</v>
      </c>
      <c r="J15" s="155">
        <v>0</v>
      </c>
      <c r="K15" s="155">
        <f>SUM(H15:J15)</f>
        <v>0</v>
      </c>
      <c r="L15" s="335"/>
    </row>
    <row r="16" spans="1:12" s="28" customFormat="1" ht="32.25" customHeight="1" outlineLevel="2" x14ac:dyDescent="0.25">
      <c r="A16" s="335"/>
      <c r="B16" s="378"/>
      <c r="C16" s="378"/>
      <c r="D16" s="377"/>
      <c r="E16" s="379"/>
      <c r="F16" s="202" t="s">
        <v>216</v>
      </c>
      <c r="G16" s="377"/>
      <c r="H16" s="155">
        <v>0</v>
      </c>
      <c r="I16" s="155">
        <v>0</v>
      </c>
      <c r="J16" s="155">
        <v>0</v>
      </c>
      <c r="K16" s="155">
        <f>SUM(H16:J16)</f>
        <v>0</v>
      </c>
      <c r="L16" s="335"/>
    </row>
    <row r="17" spans="1:12" s="28" customFormat="1" ht="15.75" outlineLevel="2" x14ac:dyDescent="0.25">
      <c r="A17" s="335"/>
      <c r="B17" s="378"/>
      <c r="C17" s="158" t="s">
        <v>229</v>
      </c>
      <c r="D17" s="124" t="s">
        <v>30</v>
      </c>
      <c r="E17" s="124" t="s">
        <v>30</v>
      </c>
      <c r="F17" s="124" t="s">
        <v>30</v>
      </c>
      <c r="G17" s="124" t="s">
        <v>30</v>
      </c>
      <c r="H17" s="181">
        <f>H15+H16</f>
        <v>0</v>
      </c>
      <c r="I17" s="181">
        <f t="shared" ref="I17:J17" si="0">I15+I16</f>
        <v>0</v>
      </c>
      <c r="J17" s="181">
        <f t="shared" si="0"/>
        <v>0</v>
      </c>
      <c r="K17" s="181">
        <f t="shared" ref="K17" si="1">SUM(H17:J17)</f>
        <v>0</v>
      </c>
      <c r="L17" s="335"/>
    </row>
    <row r="18" spans="1:12" s="28" customFormat="1" ht="72" customHeight="1" outlineLevel="1" x14ac:dyDescent="0.25">
      <c r="A18" s="335" t="s">
        <v>3</v>
      </c>
      <c r="B18" s="378" t="s">
        <v>285</v>
      </c>
      <c r="C18" s="250" t="s">
        <v>66</v>
      </c>
      <c r="D18" s="251">
        <v>247</v>
      </c>
      <c r="E18" s="252" t="s">
        <v>62</v>
      </c>
      <c r="F18" s="252" t="s">
        <v>286</v>
      </c>
      <c r="G18" s="251">
        <v>540</v>
      </c>
      <c r="H18" s="155">
        <v>0</v>
      </c>
      <c r="I18" s="155">
        <v>0</v>
      </c>
      <c r="J18" s="155">
        <v>0</v>
      </c>
      <c r="K18" s="155">
        <f t="shared" ref="K18" si="2">SUM(H18:J18)</f>
        <v>0</v>
      </c>
      <c r="L18" s="335"/>
    </row>
    <row r="19" spans="1:12" s="28" customFormat="1" ht="15.75" outlineLevel="1" x14ac:dyDescent="0.25">
      <c r="A19" s="335"/>
      <c r="B19" s="378"/>
      <c r="C19" s="158" t="s">
        <v>267</v>
      </c>
      <c r="D19" s="124" t="s">
        <v>30</v>
      </c>
      <c r="E19" s="124" t="s">
        <v>30</v>
      </c>
      <c r="F19" s="124" t="s">
        <v>30</v>
      </c>
      <c r="G19" s="124" t="s">
        <v>30</v>
      </c>
      <c r="H19" s="181">
        <f>H18</f>
        <v>0</v>
      </c>
      <c r="I19" s="181">
        <f t="shared" ref="I19:J19" si="3">I18</f>
        <v>0</v>
      </c>
      <c r="J19" s="181">
        <f t="shared" si="3"/>
        <v>0</v>
      </c>
      <c r="K19" s="181">
        <f t="shared" ref="K19:K21" si="4">SUM(H19:J19)</f>
        <v>0</v>
      </c>
      <c r="L19" s="335"/>
    </row>
    <row r="20" spans="1:12" s="28" customFormat="1" ht="63" outlineLevel="1" x14ac:dyDescent="0.25">
      <c r="A20" s="335" t="s">
        <v>84</v>
      </c>
      <c r="B20" s="378" t="s">
        <v>256</v>
      </c>
      <c r="C20" s="200" t="s">
        <v>257</v>
      </c>
      <c r="D20" s="201">
        <v>244</v>
      </c>
      <c r="E20" s="202" t="s">
        <v>62</v>
      </c>
      <c r="F20" s="202" t="s">
        <v>258</v>
      </c>
      <c r="G20" s="201">
        <v>244</v>
      </c>
      <c r="H20" s="155">
        <v>0</v>
      </c>
      <c r="I20" s="155">
        <v>0</v>
      </c>
      <c r="J20" s="155">
        <v>0</v>
      </c>
      <c r="K20" s="155">
        <f t="shared" si="4"/>
        <v>0</v>
      </c>
      <c r="L20" s="198"/>
    </row>
    <row r="21" spans="1:12" s="28" customFormat="1" ht="15.75" outlineLevel="1" x14ac:dyDescent="0.25">
      <c r="A21" s="335"/>
      <c r="B21" s="378"/>
      <c r="C21" s="158" t="s">
        <v>267</v>
      </c>
      <c r="D21" s="124" t="s">
        <v>30</v>
      </c>
      <c r="E21" s="124" t="s">
        <v>30</v>
      </c>
      <c r="F21" s="124" t="s">
        <v>30</v>
      </c>
      <c r="G21" s="124" t="s">
        <v>30</v>
      </c>
      <c r="H21" s="181">
        <f>H20</f>
        <v>0</v>
      </c>
      <c r="I21" s="181">
        <f t="shared" ref="I21:J23" si="5">I20</f>
        <v>0</v>
      </c>
      <c r="J21" s="181">
        <f t="shared" si="5"/>
        <v>0</v>
      </c>
      <c r="K21" s="181">
        <f t="shared" si="4"/>
        <v>0</v>
      </c>
      <c r="L21" s="198"/>
    </row>
    <row r="22" spans="1:12" s="28" customFormat="1" ht="63" outlineLevel="1" x14ac:dyDescent="0.25">
      <c r="A22" s="382" t="s">
        <v>86</v>
      </c>
      <c r="B22" s="380" t="s">
        <v>293</v>
      </c>
      <c r="C22" s="272" t="s">
        <v>66</v>
      </c>
      <c r="D22" s="278" t="s">
        <v>294</v>
      </c>
      <c r="E22" s="278" t="s">
        <v>62</v>
      </c>
      <c r="F22" s="278" t="s">
        <v>295</v>
      </c>
      <c r="G22" s="278" t="s">
        <v>296</v>
      </c>
      <c r="H22" s="279">
        <v>1259.2</v>
      </c>
      <c r="I22" s="279">
        <v>378.6</v>
      </c>
      <c r="J22" s="279">
        <v>378.6</v>
      </c>
      <c r="K22" s="279">
        <f>J22+I22+H22</f>
        <v>2016.4</v>
      </c>
      <c r="L22" s="260"/>
    </row>
    <row r="23" spans="1:12" s="28" customFormat="1" ht="15.75" outlineLevel="1" x14ac:dyDescent="0.25">
      <c r="A23" s="383"/>
      <c r="B23" s="381"/>
      <c r="C23" s="158" t="s">
        <v>267</v>
      </c>
      <c r="D23" s="124" t="s">
        <v>30</v>
      </c>
      <c r="E23" s="124" t="s">
        <v>30</v>
      </c>
      <c r="F23" s="124" t="s">
        <v>30</v>
      </c>
      <c r="G23" s="124" t="s">
        <v>30</v>
      </c>
      <c r="H23" s="181">
        <f>H22</f>
        <v>1259.2</v>
      </c>
      <c r="I23" s="181">
        <f t="shared" si="5"/>
        <v>378.6</v>
      </c>
      <c r="J23" s="181">
        <f t="shared" si="5"/>
        <v>378.6</v>
      </c>
      <c r="K23" s="181">
        <f t="shared" ref="K23" si="6">SUM(H23:J23)</f>
        <v>2016.4</v>
      </c>
      <c r="L23" s="260"/>
    </row>
    <row r="24" spans="1:12" x14ac:dyDescent="0.25">
      <c r="A24" s="120"/>
      <c r="B24" s="121" t="s">
        <v>120</v>
      </c>
      <c r="C24" s="120" t="s">
        <v>30</v>
      </c>
      <c r="D24" s="120" t="s">
        <v>30</v>
      </c>
      <c r="E24" s="120" t="s">
        <v>30</v>
      </c>
      <c r="F24" s="120" t="s">
        <v>30</v>
      </c>
      <c r="G24" s="120" t="s">
        <v>30</v>
      </c>
      <c r="H24" s="156">
        <f>H17+H19+H21+H23</f>
        <v>1259.2</v>
      </c>
      <c r="I24" s="156">
        <f t="shared" ref="I24:K24" si="7">I17+I19+I21+I23</f>
        <v>378.6</v>
      </c>
      <c r="J24" s="156">
        <f t="shared" si="7"/>
        <v>378.6</v>
      </c>
      <c r="K24" s="156">
        <f t="shared" si="7"/>
        <v>2016.4</v>
      </c>
      <c r="L24" s="120" t="s">
        <v>30</v>
      </c>
    </row>
    <row r="27" spans="1:12" x14ac:dyDescent="0.25">
      <c r="H27" s="42">
        <f>H18/1000</f>
        <v>0</v>
      </c>
      <c r="I27" s="42">
        <f>I18/1000</f>
        <v>0</v>
      </c>
      <c r="J27" s="42">
        <f>J18/1000</f>
        <v>0</v>
      </c>
      <c r="K27" s="42">
        <f>K18/1000</f>
        <v>0</v>
      </c>
    </row>
    <row r="28" spans="1:12" x14ac:dyDescent="0.25">
      <c r="H28" s="42">
        <f>H24/1000</f>
        <v>1.2592000000000001</v>
      </c>
      <c r="I28" s="42">
        <f t="shared" ref="I28:K28" si="8">I24/1000</f>
        <v>0.37860000000000005</v>
      </c>
      <c r="J28" s="42">
        <f t="shared" si="8"/>
        <v>0.37860000000000005</v>
      </c>
      <c r="K28" s="42">
        <f t="shared" si="8"/>
        <v>2.0164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6">
    <mergeCell ref="B22:B23"/>
    <mergeCell ref="A22:A23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view="pageBreakPreview" zoomScale="60" zoomScaleNormal="70" workbookViewId="0">
      <selection activeCell="A22" sqref="A22"/>
    </sheetView>
  </sheetViews>
  <sheetFormatPr defaultRowHeight="15.75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92.25" customHeight="1" x14ac:dyDescent="0.25">
      <c r="F1" s="339" t="s">
        <v>207</v>
      </c>
      <c r="G1" s="339"/>
      <c r="H1" s="339"/>
    </row>
    <row r="2" spans="1:8" ht="18.75" x14ac:dyDescent="0.25">
      <c r="A2" s="50"/>
    </row>
    <row r="3" spans="1:8" ht="18.75" x14ac:dyDescent="0.25">
      <c r="A3" s="50"/>
    </row>
    <row r="4" spans="1:8" ht="18.75" x14ac:dyDescent="0.25">
      <c r="A4" s="342" t="s">
        <v>1</v>
      </c>
      <c r="B4" s="342"/>
      <c r="C4" s="342"/>
      <c r="D4" s="342"/>
      <c r="E4" s="342"/>
      <c r="F4" s="342"/>
      <c r="G4" s="342"/>
      <c r="H4" s="342"/>
    </row>
    <row r="5" spans="1:8" ht="48" customHeight="1" x14ac:dyDescent="0.25">
      <c r="A5" s="345" t="s">
        <v>161</v>
      </c>
      <c r="B5" s="342"/>
      <c r="C5" s="342"/>
      <c r="D5" s="342"/>
      <c r="E5" s="342"/>
      <c r="F5" s="342"/>
      <c r="G5" s="342"/>
      <c r="H5" s="342"/>
    </row>
    <row r="6" spans="1:8" ht="18.75" x14ac:dyDescent="0.25">
      <c r="A6" s="50"/>
    </row>
    <row r="7" spans="1:8" x14ac:dyDescent="0.25">
      <c r="A7" s="330" t="s">
        <v>19</v>
      </c>
      <c r="B7" s="330" t="s">
        <v>46</v>
      </c>
      <c r="C7" s="330" t="s">
        <v>2</v>
      </c>
      <c r="D7" s="330" t="s">
        <v>47</v>
      </c>
      <c r="E7" s="330" t="s">
        <v>48</v>
      </c>
      <c r="F7" s="330"/>
      <c r="G7" s="330"/>
      <c r="H7" s="330"/>
    </row>
    <row r="8" spans="1:8" x14ac:dyDescent="0.25">
      <c r="A8" s="330"/>
      <c r="B8" s="330"/>
      <c r="C8" s="330"/>
      <c r="D8" s="330"/>
      <c r="E8" s="197">
        <v>2019</v>
      </c>
      <c r="F8" s="197">
        <v>2020</v>
      </c>
      <c r="G8" s="197">
        <v>2021</v>
      </c>
      <c r="H8" s="197">
        <v>2022</v>
      </c>
    </row>
    <row r="9" spans="1:8" x14ac:dyDescent="0.25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</row>
    <row r="10" spans="1:8" ht="36" customHeight="1" x14ac:dyDescent="0.25">
      <c r="A10" s="385" t="str">
        <f>'пр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85"/>
      <c r="C10" s="385"/>
      <c r="D10" s="385"/>
      <c r="E10" s="385"/>
      <c r="F10" s="385"/>
      <c r="G10" s="385"/>
      <c r="H10" s="385"/>
    </row>
    <row r="11" spans="1:8" ht="20.25" customHeight="1" x14ac:dyDescent="0.25">
      <c r="A11" s="385" t="str">
        <f>'пр к ПП4'!A14</f>
        <v>Задача 1. Создание условий, обеспечивающих доступность внутризоновой, междугородней и международной связи.</v>
      </c>
      <c r="B11" s="385"/>
      <c r="C11" s="385"/>
      <c r="D11" s="385"/>
      <c r="E11" s="385"/>
      <c r="F11" s="385"/>
      <c r="G11" s="385"/>
      <c r="H11" s="385"/>
    </row>
    <row r="12" spans="1:8" s="15" customFormat="1" ht="82.5" customHeight="1" x14ac:dyDescent="0.25">
      <c r="A12" s="54" t="s">
        <v>3</v>
      </c>
      <c r="B12" s="76" t="s">
        <v>242</v>
      </c>
      <c r="C12" s="75" t="s">
        <v>74</v>
      </c>
      <c r="D12" s="54" t="s">
        <v>208</v>
      </c>
      <c r="E12" s="151">
        <v>1</v>
      </c>
      <c r="F12" s="151">
        <v>1</v>
      </c>
      <c r="G12" s="151">
        <f t="shared" ref="G12:H12" si="0">F12</f>
        <v>1</v>
      </c>
      <c r="H12" s="151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view="pageBreakPreview" zoomScaleNormal="100" zoomScaleSheetLayoutView="100" workbookViewId="0">
      <selection activeCell="K1" sqref="K1:L1"/>
    </sheetView>
  </sheetViews>
  <sheetFormatPr defaultColWidth="9" defaultRowHeight="18.75" outlineLevelRow="1" x14ac:dyDescent="0.25"/>
  <cols>
    <col min="1" max="1" width="4.75" style="22" customWidth="1"/>
    <col min="2" max="2" width="49.625" style="22" customWidth="1"/>
    <col min="3" max="3" width="24.75" style="22" customWidth="1"/>
    <col min="4" max="5" width="7.375" style="22" customWidth="1"/>
    <col min="6" max="6" width="21" style="22" customWidth="1"/>
    <col min="7" max="7" width="5.75" style="22" customWidth="1"/>
    <col min="8" max="9" width="15.25" style="22" bestFit="1" customWidth="1"/>
    <col min="10" max="10" width="13.75" style="22" bestFit="1" customWidth="1"/>
    <col min="11" max="11" width="20" style="22" customWidth="1"/>
    <col min="12" max="12" width="24.5" style="22" customWidth="1"/>
    <col min="13" max="16384" width="9" style="22"/>
  </cols>
  <sheetData>
    <row r="1" spans="1:12" ht="84" customHeight="1" outlineLevel="1" x14ac:dyDescent="0.3">
      <c r="K1" s="355" t="s">
        <v>326</v>
      </c>
      <c r="L1" s="355"/>
    </row>
    <row r="2" spans="1:12" outlineLevel="1" x14ac:dyDescent="0.25"/>
    <row r="3" spans="1:12" outlineLevel="1" x14ac:dyDescent="0.25"/>
    <row r="4" spans="1:12" ht="63" customHeight="1" x14ac:dyDescent="0.25">
      <c r="K4" s="356" t="s">
        <v>209</v>
      </c>
      <c r="L4" s="356"/>
    </row>
    <row r="5" spans="1:12" x14ac:dyDescent="0.25">
      <c r="A5" s="23"/>
    </row>
    <row r="6" spans="1:12" x14ac:dyDescent="0.25">
      <c r="A6" s="23"/>
    </row>
    <row r="7" spans="1:12" x14ac:dyDescent="0.25">
      <c r="A7" s="359" t="s">
        <v>1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</row>
    <row r="8" spans="1:12" x14ac:dyDescent="0.25">
      <c r="A8" s="359" t="s">
        <v>173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</row>
    <row r="9" spans="1:12" x14ac:dyDescent="0.25">
      <c r="A9" s="23"/>
    </row>
    <row r="10" spans="1:12" s="26" customFormat="1" ht="15.75" customHeight="1" x14ac:dyDescent="0.25">
      <c r="A10" s="335" t="s">
        <v>19</v>
      </c>
      <c r="B10" s="335" t="s">
        <v>49</v>
      </c>
      <c r="C10" s="335" t="s">
        <v>25</v>
      </c>
      <c r="D10" s="335" t="s">
        <v>23</v>
      </c>
      <c r="E10" s="335"/>
      <c r="F10" s="335"/>
      <c r="G10" s="335"/>
      <c r="H10" s="335" t="s">
        <v>50</v>
      </c>
      <c r="I10" s="335"/>
      <c r="J10" s="335"/>
      <c r="K10" s="335"/>
      <c r="L10" s="335" t="s">
        <v>51</v>
      </c>
    </row>
    <row r="11" spans="1:12" s="26" customFormat="1" ht="103.5" customHeight="1" x14ac:dyDescent="0.25">
      <c r="A11" s="335"/>
      <c r="B11" s="335"/>
      <c r="C11" s="335"/>
      <c r="D11" s="301" t="s">
        <v>25</v>
      </c>
      <c r="E11" s="301" t="s">
        <v>26</v>
      </c>
      <c r="F11" s="301" t="s">
        <v>27</v>
      </c>
      <c r="G11" s="301" t="s">
        <v>28</v>
      </c>
      <c r="H11" s="303">
        <v>2022</v>
      </c>
      <c r="I11" s="303">
        <v>2023</v>
      </c>
      <c r="J11" s="303">
        <v>2024</v>
      </c>
      <c r="K11" s="301" t="s">
        <v>52</v>
      </c>
      <c r="L11" s="335"/>
    </row>
    <row r="12" spans="1:12" s="26" customFormat="1" ht="15.75" x14ac:dyDescent="0.25">
      <c r="A12" s="301">
        <v>1</v>
      </c>
      <c r="B12" s="301">
        <v>2</v>
      </c>
      <c r="C12" s="301">
        <v>3</v>
      </c>
      <c r="D12" s="301">
        <v>4</v>
      </c>
      <c r="E12" s="301">
        <v>5</v>
      </c>
      <c r="F12" s="301">
        <v>6</v>
      </c>
      <c r="G12" s="301">
        <v>7</v>
      </c>
      <c r="H12" s="301">
        <v>8</v>
      </c>
      <c r="I12" s="301">
        <v>9</v>
      </c>
      <c r="J12" s="301">
        <v>10</v>
      </c>
      <c r="K12" s="301">
        <v>11</v>
      </c>
      <c r="L12" s="301">
        <v>12</v>
      </c>
    </row>
    <row r="13" spans="1:12" s="27" customFormat="1" ht="18.75" customHeight="1" x14ac:dyDescent="0.25">
      <c r="A13" s="388" t="s">
        <v>171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90"/>
    </row>
    <row r="14" spans="1:12" s="27" customFormat="1" ht="18" customHeight="1" x14ac:dyDescent="0.25">
      <c r="A14" s="388" t="s">
        <v>172</v>
      </c>
      <c r="B14" s="389"/>
      <c r="C14" s="389"/>
      <c r="D14" s="389"/>
      <c r="E14" s="389"/>
      <c r="F14" s="389"/>
      <c r="G14" s="389"/>
      <c r="H14" s="389"/>
      <c r="I14" s="389"/>
      <c r="J14" s="389"/>
      <c r="K14" s="389"/>
      <c r="L14" s="390"/>
    </row>
    <row r="15" spans="1:12" s="28" customFormat="1" ht="67.5" customHeight="1" x14ac:dyDescent="0.25">
      <c r="A15" s="346" t="s">
        <v>3</v>
      </c>
      <c r="B15" s="349" t="s">
        <v>241</v>
      </c>
      <c r="C15" s="301" t="s">
        <v>65</v>
      </c>
      <c r="D15" s="301">
        <v>241</v>
      </c>
      <c r="E15" s="139" t="s">
        <v>68</v>
      </c>
      <c r="F15" s="196" t="s">
        <v>197</v>
      </c>
      <c r="G15" s="301">
        <v>244</v>
      </c>
      <c r="H15" s="261">
        <v>10600</v>
      </c>
      <c r="I15" s="261">
        <v>10600</v>
      </c>
      <c r="J15" s="261">
        <f>I15</f>
        <v>10600</v>
      </c>
      <c r="K15" s="73">
        <f t="shared" ref="K15:K16" si="0">SUM(H15:J15)</f>
        <v>31800</v>
      </c>
      <c r="L15" s="346" t="s">
        <v>147</v>
      </c>
    </row>
    <row r="16" spans="1:12" s="28" customFormat="1" ht="15.75" x14ac:dyDescent="0.25">
      <c r="A16" s="348"/>
      <c r="B16" s="350"/>
      <c r="C16" s="158" t="s">
        <v>267</v>
      </c>
      <c r="D16" s="124" t="s">
        <v>30</v>
      </c>
      <c r="E16" s="124" t="s">
        <v>30</v>
      </c>
      <c r="F16" s="124" t="s">
        <v>30</v>
      </c>
      <c r="G16" s="124" t="s">
        <v>30</v>
      </c>
      <c r="H16" s="125">
        <f>H15</f>
        <v>10600</v>
      </c>
      <c r="I16" s="125">
        <f t="shared" ref="I16:J16" si="1">I15</f>
        <v>10600</v>
      </c>
      <c r="J16" s="125">
        <f t="shared" si="1"/>
        <v>10600</v>
      </c>
      <c r="K16" s="140">
        <f t="shared" si="0"/>
        <v>31800</v>
      </c>
      <c r="L16" s="348"/>
    </row>
    <row r="17" spans="1:19" s="28" customFormat="1" ht="33.75" customHeight="1" outlineLevel="1" x14ac:dyDescent="0.25">
      <c r="A17" s="346" t="s">
        <v>84</v>
      </c>
      <c r="B17" s="349" t="s">
        <v>247</v>
      </c>
      <c r="C17" s="346" t="s">
        <v>95</v>
      </c>
      <c r="D17" s="346">
        <v>242</v>
      </c>
      <c r="E17" s="357" t="s">
        <v>248</v>
      </c>
      <c r="F17" s="386" t="s">
        <v>318</v>
      </c>
      <c r="G17" s="346">
        <v>244</v>
      </c>
      <c r="H17" s="261">
        <v>1731.39428</v>
      </c>
      <c r="I17" s="306"/>
      <c r="J17" s="306"/>
      <c r="K17" s="307">
        <f t="shared" ref="K17:K19" si="2">SUM(H17:J17)</f>
        <v>1731.39428</v>
      </c>
      <c r="L17" s="346" t="s">
        <v>324</v>
      </c>
    </row>
    <row r="18" spans="1:19" s="28" customFormat="1" ht="68.25" customHeight="1" outlineLevel="1" x14ac:dyDescent="0.25">
      <c r="A18" s="347"/>
      <c r="B18" s="353"/>
      <c r="C18" s="348"/>
      <c r="D18" s="348"/>
      <c r="E18" s="358"/>
      <c r="F18" s="387"/>
      <c r="G18" s="348"/>
      <c r="H18" s="261">
        <v>3.4697200000000001</v>
      </c>
      <c r="I18" s="306"/>
      <c r="J18" s="306"/>
      <c r="K18" s="307">
        <f t="shared" si="2"/>
        <v>3.4697200000000001</v>
      </c>
      <c r="L18" s="347"/>
    </row>
    <row r="19" spans="1:19" s="28" customFormat="1" ht="15.75" outlineLevel="1" x14ac:dyDescent="0.25">
      <c r="A19" s="348"/>
      <c r="B19" s="350"/>
      <c r="C19" s="124" t="s">
        <v>229</v>
      </c>
      <c r="D19" s="124" t="s">
        <v>30</v>
      </c>
      <c r="E19" s="124" t="s">
        <v>30</v>
      </c>
      <c r="F19" s="124" t="s">
        <v>30</v>
      </c>
      <c r="G19" s="124" t="s">
        <v>30</v>
      </c>
      <c r="H19" s="125">
        <f>H17+H18</f>
        <v>1734.864</v>
      </c>
      <c r="I19" s="125">
        <f t="shared" ref="I19:J19" si="3">I17+I18</f>
        <v>0</v>
      </c>
      <c r="J19" s="125">
        <f t="shared" si="3"/>
        <v>0</v>
      </c>
      <c r="K19" s="140">
        <f t="shared" si="2"/>
        <v>1734.864</v>
      </c>
      <c r="L19" s="348"/>
    </row>
    <row r="20" spans="1:19" x14ac:dyDescent="0.25">
      <c r="A20" s="120"/>
      <c r="B20" s="121" t="s">
        <v>120</v>
      </c>
      <c r="C20" s="120" t="s">
        <v>30</v>
      </c>
      <c r="D20" s="120" t="s">
        <v>30</v>
      </c>
      <c r="E20" s="120" t="s">
        <v>30</v>
      </c>
      <c r="F20" s="120" t="s">
        <v>30</v>
      </c>
      <c r="G20" s="120" t="s">
        <v>30</v>
      </c>
      <c r="H20" s="122">
        <f>H16+H19</f>
        <v>12334.864</v>
      </c>
      <c r="I20" s="122">
        <f t="shared" ref="I20:J20" si="4">I16+I19</f>
        <v>10600</v>
      </c>
      <c r="J20" s="122">
        <f t="shared" si="4"/>
        <v>10600</v>
      </c>
      <c r="K20" s="122">
        <f>SUM(H20:J20)</f>
        <v>33534.864000000001</v>
      </c>
      <c r="L20" s="141" t="s">
        <v>30</v>
      </c>
      <c r="S20" s="22" t="s">
        <v>225</v>
      </c>
    </row>
    <row r="21" spans="1:19" x14ac:dyDescent="0.25">
      <c r="H21" s="118"/>
    </row>
    <row r="22" spans="1:19" x14ac:dyDescent="0.25">
      <c r="H22" s="118"/>
    </row>
    <row r="25" spans="1:19" x14ac:dyDescent="0.25">
      <c r="F25" s="116"/>
      <c r="G25" s="116"/>
      <c r="H25" s="117"/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3">
    <mergeCell ref="F17:F18"/>
    <mergeCell ref="K1:L1"/>
    <mergeCell ref="A17:A19"/>
    <mergeCell ref="B17:B19"/>
    <mergeCell ref="L17:L19"/>
    <mergeCell ref="C17:C18"/>
    <mergeCell ref="D17:D18"/>
    <mergeCell ref="E17:E18"/>
    <mergeCell ref="G17:G18"/>
    <mergeCell ref="B15:B16"/>
    <mergeCell ref="A15:A16"/>
    <mergeCell ref="L15:L16"/>
    <mergeCell ref="A14:L14"/>
    <mergeCell ref="A13:L13"/>
    <mergeCell ref="K4:L4"/>
    <mergeCell ref="A7:L7"/>
    <mergeCell ref="A8:L8"/>
    <mergeCell ref="L10:L11"/>
    <mergeCell ref="A10:A11"/>
    <mergeCell ref="B10:B11"/>
    <mergeCell ref="C10:C11"/>
    <mergeCell ref="D10:G10"/>
    <mergeCell ref="H10:K10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20</vt:i4>
      </vt:variant>
    </vt:vector>
  </HeadingPairs>
  <TitlesOfParts>
    <vt:vector size="38" baseType="lpstr">
      <vt:lpstr>пр к пасп</vt:lpstr>
      <vt:lpstr>пр к пасп ПП1</vt:lpstr>
      <vt:lpstr>пр к ПП1</vt:lpstr>
      <vt:lpstr>пр к пасп ПП2</vt:lpstr>
      <vt:lpstr>пр к ПП2</vt:lpstr>
      <vt:lpstr>пр к пасп ПП3</vt:lpstr>
      <vt:lpstr>пр к ПП3</vt:lpstr>
      <vt:lpstr>пр к пасп ПП4</vt:lpstr>
      <vt:lpstr>пр к ПП4</vt:lpstr>
      <vt:lpstr>пр 5 к МП</vt:lpstr>
      <vt:lpstr>пр 6 к МП</vt:lpstr>
      <vt:lpstr>пр 7 к МП</vt:lpstr>
      <vt:lpstr>пп1</vt:lpstr>
      <vt:lpstr>пп2</vt:lpstr>
      <vt:lpstr>пп3</vt:lpstr>
      <vt:lpstr>пп4</vt:lpstr>
      <vt:lpstr>Приложение 2</vt:lpstr>
      <vt:lpstr>Приложение 3</vt:lpstr>
      <vt:lpstr>'пр 5 к МП'!Заголовки_для_печати</vt:lpstr>
      <vt:lpstr>'пр 6 к МП'!Заголовки_для_печати</vt:lpstr>
      <vt:lpstr>'пр 7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к пасп ПП3'!Заголовки_для_печати</vt:lpstr>
      <vt:lpstr>'пр к пасп ПП4'!Заголовки_для_печати</vt:lpstr>
      <vt:lpstr>'пр к ПП1'!Заголовки_для_печати</vt:lpstr>
      <vt:lpstr>'пр к ПП3'!Заголовки_для_печати</vt:lpstr>
      <vt:lpstr>'пр 6 к МП'!Область_печати</vt:lpstr>
      <vt:lpstr>'пр 7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пасп ПП3'!Область_печати</vt:lpstr>
      <vt:lpstr>'пр к ПП1'!Область_печати</vt:lpstr>
      <vt:lpstr>'пр к ПП2'!Область_печати</vt:lpstr>
      <vt:lpstr>'пр к ПП3'!Область_печати</vt:lpstr>
      <vt:lpstr>'пр к ПП4'!Область_печати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2022-03-02T03:09:44Z</cp:lastPrinted>
  <dcterms:created xsi:type="dcterms:W3CDTF">2016-10-20T04:37:12Z</dcterms:created>
  <dcterms:modified xsi:type="dcterms:W3CDTF">2022-03-02T03:12:30Z</dcterms:modified>
</cp:coreProperties>
</file>