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625" tabRatio="899" activeTab="7"/>
  </bookViews>
  <sheets>
    <sheet name="пр к пасп" sheetId="2" r:id="rId1"/>
    <sheet name="пр к ПП1" sheetId="8" r:id="rId2"/>
    <sheet name="пр к пасп ПП2" sheetId="18" r:id="rId3"/>
    <sheet name="пр к пасп ПП3" sheetId="19" r:id="rId4"/>
    <sheet name="пр к ПП3" sheetId="16" r:id="rId5"/>
    <sheet name="пр к ПП4" sheetId="17" r:id="rId6"/>
    <sheet name="пр 6 к МП" sheetId="5" r:id="rId7"/>
    <sheet name="пр 7 к МП" sheetId="6" r:id="rId8"/>
  </sheets>
  <definedNames>
    <definedName name="_xlnm._FilterDatabase" localSheetId="1" hidden="1">'пр к ПП1'!$A$10:$L$22</definedName>
    <definedName name="_xlnm._FilterDatabase" localSheetId="4" hidden="1">'пр к ПП3'!$A$10:$L$14</definedName>
    <definedName name="_xlnm._FilterDatabase" localSheetId="5" hidden="1">'пр к ПП4'!$A$10:$L$14</definedName>
    <definedName name="_xlnm.Print_Titles" localSheetId="6">'пр 6 к МП'!$14:$16</definedName>
    <definedName name="_xlnm.Print_Titles" localSheetId="7">'пр 7 к МП'!$16:$18</definedName>
    <definedName name="_xlnm.Print_Titles" localSheetId="0">'пр к пасп'!$13:$16</definedName>
    <definedName name="_xlnm.Print_Titles" localSheetId="2">'пр к пасп ПП2'!$10:$12</definedName>
    <definedName name="_xlnm.Print_Titles" localSheetId="3">'пр к пасп ПП3'!$10:$12</definedName>
    <definedName name="_xlnm.Print_Titles" localSheetId="1">'пр к ПП1'!$10:$12</definedName>
    <definedName name="_xlnm.Print_Titles" localSheetId="4">'пр к ПП3'!$10:$11</definedName>
    <definedName name="_xlnm.Print_Area" localSheetId="6">'пр 6 к МП'!$A$1:$L$39</definedName>
    <definedName name="_xlnm.Print_Area" localSheetId="7">'пр 7 к МП'!$A$1:$M$53</definedName>
    <definedName name="_xlnm.Print_Area" localSheetId="0">'пр к пасп'!$A$1:$N$29</definedName>
    <definedName name="_xlnm.Print_Area" localSheetId="1">'пр к ПП1'!$A$1:$L$31</definedName>
    <definedName name="_xlnm.Print_Area" localSheetId="4">'пр к ПП3'!$A$1:$L$22</definedName>
    <definedName name="_xlnm.Print_Area" localSheetId="5">'пр к ПП4'!$A$1:$L$25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6" l="1"/>
  <c r="K29" i="6" l="1"/>
  <c r="L29" i="6"/>
  <c r="K30" i="6"/>
  <c r="L30" i="6"/>
  <c r="J30" i="6"/>
  <c r="J29" i="6"/>
  <c r="J25" i="5"/>
  <c r="K25" i="5"/>
  <c r="J26" i="5"/>
  <c r="K26" i="5"/>
  <c r="I26" i="5"/>
  <c r="K29" i="8" l="1"/>
  <c r="H30" i="8"/>
  <c r="K30" i="8" s="1"/>
  <c r="I30" i="8"/>
  <c r="J30" i="8"/>
  <c r="I26" i="8"/>
  <c r="J26" i="8"/>
  <c r="H26" i="8"/>
  <c r="K25" i="8"/>
  <c r="I20" i="8" l="1"/>
  <c r="J20" i="8" s="1"/>
  <c r="H47" i="6" l="1"/>
  <c r="J28" i="8" l="1"/>
  <c r="I28" i="8"/>
  <c r="H28" i="8"/>
  <c r="K27" i="8"/>
  <c r="K28" i="8" l="1"/>
  <c r="I19" i="8"/>
  <c r="J19" i="8" l="1"/>
  <c r="F15" i="18"/>
  <c r="G15" i="18" s="1"/>
  <c r="H15" i="18" s="1"/>
  <c r="F17" i="19" l="1"/>
  <c r="F15" i="19" s="1"/>
  <c r="E17" i="19"/>
  <c r="F16" i="19"/>
  <c r="G16" i="19"/>
  <c r="H16" i="19"/>
  <c r="E16" i="19"/>
  <c r="I15" i="17"/>
  <c r="J15" i="17" s="1"/>
  <c r="O53" i="6" l="1"/>
  <c r="O52" i="6"/>
  <c r="O49" i="6"/>
  <c r="O48" i="6"/>
  <c r="O46" i="6"/>
  <c r="O45" i="6"/>
  <c r="O42" i="6"/>
  <c r="O41" i="6"/>
  <c r="O39" i="6"/>
  <c r="O38" i="6"/>
  <c r="O36" i="6"/>
  <c r="O35" i="6"/>
  <c r="O34" i="6"/>
  <c r="O32" i="6"/>
  <c r="O31" i="6"/>
  <c r="O28" i="6"/>
  <c r="O27" i="6"/>
  <c r="J11" i="8"/>
  <c r="I11" i="8"/>
  <c r="H11" i="8"/>
  <c r="J11" i="16"/>
  <c r="I11" i="16"/>
  <c r="H11" i="16"/>
  <c r="I11" i="17"/>
  <c r="J11" i="17"/>
  <c r="H11" i="17"/>
  <c r="J14" i="5"/>
  <c r="K14" i="5"/>
  <c r="I14" i="5"/>
  <c r="K21" i="6"/>
  <c r="L21" i="6"/>
  <c r="K24" i="6"/>
  <c r="L24" i="6"/>
  <c r="K25" i="6"/>
  <c r="L25" i="6"/>
  <c r="K37" i="6"/>
  <c r="K33" i="6" s="1"/>
  <c r="L37" i="6"/>
  <c r="L33" i="6" s="1"/>
  <c r="K43" i="6"/>
  <c r="L43" i="6"/>
  <c r="K44" i="6"/>
  <c r="L44" i="6"/>
  <c r="K50" i="6"/>
  <c r="L50" i="6"/>
  <c r="K51" i="6"/>
  <c r="L51" i="6"/>
  <c r="J51" i="6"/>
  <c r="J50" i="6"/>
  <c r="J44" i="6"/>
  <c r="J43" i="6"/>
  <c r="J37" i="6"/>
  <c r="M53" i="6"/>
  <c r="M52" i="6"/>
  <c r="M49" i="6"/>
  <c r="M46" i="6"/>
  <c r="M45" i="6"/>
  <c r="M42" i="6"/>
  <c r="M39" i="6"/>
  <c r="M38" i="6"/>
  <c r="M36" i="6"/>
  <c r="M35" i="6"/>
  <c r="M32" i="6"/>
  <c r="M31" i="6"/>
  <c r="M28" i="6"/>
  <c r="H11" i="19"/>
  <c r="G11" i="19"/>
  <c r="F11" i="19"/>
  <c r="E11" i="19"/>
  <c r="F11" i="18"/>
  <c r="G11" i="18"/>
  <c r="H11" i="18"/>
  <c r="E11" i="18"/>
  <c r="L66" i="6" l="1"/>
  <c r="L60" i="6"/>
  <c r="K66" i="6"/>
  <c r="K60" i="6"/>
  <c r="M51" i="6"/>
  <c r="K47" i="6"/>
  <c r="L23" i="6"/>
  <c r="L47" i="6"/>
  <c r="L22" i="6"/>
  <c r="M43" i="6"/>
  <c r="M44" i="6"/>
  <c r="K22" i="6"/>
  <c r="M37" i="6"/>
  <c r="M30" i="6"/>
  <c r="L40" i="6"/>
  <c r="K40" i="6"/>
  <c r="K23" i="6"/>
  <c r="L26" i="6"/>
  <c r="M50" i="6"/>
  <c r="M29" i="6"/>
  <c r="K26" i="6"/>
  <c r="L68" i="6" l="1"/>
  <c r="L62" i="6"/>
  <c r="K62" i="6"/>
  <c r="K68" i="6"/>
  <c r="K19" i="6"/>
  <c r="L19" i="6"/>
  <c r="O37" i="6" l="1"/>
  <c r="J31" i="5"/>
  <c r="K31" i="5"/>
  <c r="I31" i="5"/>
  <c r="L31" i="5" l="1"/>
  <c r="K19" i="2" l="1"/>
  <c r="L19" i="2" s="1"/>
  <c r="K18" i="2"/>
  <c r="L18" i="2" s="1"/>
  <c r="M18" i="2"/>
  <c r="N18" i="2" s="1"/>
  <c r="M19" i="2" l="1"/>
  <c r="N19" i="2" s="1"/>
  <c r="G21" i="2"/>
  <c r="J21" i="16" l="1"/>
  <c r="I21" i="16"/>
  <c r="H21" i="16"/>
  <c r="K20" i="16"/>
  <c r="K21" i="16" l="1"/>
  <c r="O51" i="6" l="1"/>
  <c r="O50" i="6"/>
  <c r="O30" i="6"/>
  <c r="J39" i="5"/>
  <c r="K39" i="5"/>
  <c r="I39" i="5"/>
  <c r="L39" i="5" l="1"/>
  <c r="K18" i="17" l="1"/>
  <c r="H19" i="17"/>
  <c r="K24" i="8"/>
  <c r="K17" i="17" l="1"/>
  <c r="J19" i="17"/>
  <c r="I19" i="17"/>
  <c r="K26" i="8"/>
  <c r="K19" i="17" l="1"/>
  <c r="O29" i="6"/>
  <c r="I29" i="5" l="1"/>
  <c r="F16" i="18" l="1"/>
  <c r="G16" i="18" s="1"/>
  <c r="H16" i="18" s="1"/>
  <c r="I19" i="16" l="1"/>
  <c r="J19" i="16"/>
  <c r="H19" i="16"/>
  <c r="I17" i="16"/>
  <c r="J17" i="16"/>
  <c r="H17" i="16"/>
  <c r="H22" i="16" l="1"/>
  <c r="I22" i="16"/>
  <c r="K17" i="16"/>
  <c r="K19" i="16"/>
  <c r="J22" i="16"/>
  <c r="K61" i="6" l="1"/>
  <c r="K67" i="6"/>
  <c r="L61" i="6"/>
  <c r="L67" i="6"/>
  <c r="K22" i="16"/>
  <c r="H21" i="6"/>
  <c r="H22" i="6"/>
  <c r="H23" i="6"/>
  <c r="H24" i="6"/>
  <c r="H25" i="6"/>
  <c r="H40" i="6"/>
  <c r="H33" i="6"/>
  <c r="H26" i="6"/>
  <c r="H19" i="6" l="1"/>
  <c r="F18" i="19" l="1"/>
  <c r="F19" i="19" s="1"/>
  <c r="H16" i="17"/>
  <c r="H20" i="17" s="1"/>
  <c r="I16" i="8"/>
  <c r="J16" i="8"/>
  <c r="I18" i="8"/>
  <c r="J18" i="8"/>
  <c r="I23" i="8"/>
  <c r="J23" i="8"/>
  <c r="H23" i="8"/>
  <c r="H21" i="8"/>
  <c r="H18" i="8"/>
  <c r="H16" i="8"/>
  <c r="H31" i="8" l="1"/>
  <c r="I21" i="8"/>
  <c r="I31" i="8" s="1"/>
  <c r="K59" i="6" l="1"/>
  <c r="K65" i="6"/>
  <c r="J29" i="5"/>
  <c r="J21" i="8"/>
  <c r="J31" i="8" s="1"/>
  <c r="L65" i="6" l="1"/>
  <c r="L59" i="6"/>
  <c r="N67" i="6"/>
  <c r="N66" i="6"/>
  <c r="N61" i="6"/>
  <c r="N60" i="6"/>
  <c r="K23" i="8"/>
  <c r="K22" i="8"/>
  <c r="K20" i="8"/>
  <c r="I38" i="5"/>
  <c r="I36" i="5" l="1"/>
  <c r="I51" i="5" s="1"/>
  <c r="I19" i="5"/>
  <c r="I57" i="5" l="1"/>
  <c r="I16" i="17"/>
  <c r="I20" i="17" s="1"/>
  <c r="J38" i="5"/>
  <c r="J36" i="5" l="1"/>
  <c r="J57" i="5" s="1"/>
  <c r="J19" i="5"/>
  <c r="K38" i="5"/>
  <c r="J16" i="17"/>
  <c r="J20" i="17" s="1"/>
  <c r="K15" i="17"/>
  <c r="K36" i="5" l="1"/>
  <c r="K57" i="5" s="1"/>
  <c r="K16" i="17"/>
  <c r="J51" i="5"/>
  <c r="E22" i="6"/>
  <c r="K51" i="5" l="1"/>
  <c r="O44" i="6" l="1"/>
  <c r="O43" i="6"/>
  <c r="J40" i="6" l="1"/>
  <c r="I40" i="6"/>
  <c r="E30" i="5"/>
  <c r="E39" i="5" s="1"/>
  <c r="E35" i="5"/>
  <c r="J34" i="5"/>
  <c r="J21" i="5" s="1"/>
  <c r="K34" i="5"/>
  <c r="K21" i="5" s="1"/>
  <c r="J35" i="5"/>
  <c r="J22" i="5" s="1"/>
  <c r="K35" i="5"/>
  <c r="K22" i="5" s="1"/>
  <c r="I35" i="5"/>
  <c r="I22" i="5" s="1"/>
  <c r="J30" i="5"/>
  <c r="J27" i="5" s="1"/>
  <c r="K30" i="5"/>
  <c r="I30" i="5"/>
  <c r="I27" i="5" s="1"/>
  <c r="K18" i="16"/>
  <c r="K16" i="16"/>
  <c r="K15" i="16"/>
  <c r="J67" i="6" l="1"/>
  <c r="J61" i="6"/>
  <c r="M40" i="6"/>
  <c r="I55" i="5"/>
  <c r="I67" i="6"/>
  <c r="L22" i="5"/>
  <c r="J32" i="5"/>
  <c r="K32" i="5"/>
  <c r="L35" i="5"/>
  <c r="L30" i="5"/>
  <c r="M61" i="6" l="1"/>
  <c r="M67" i="6"/>
  <c r="I49" i="5"/>
  <c r="J56" i="5"/>
  <c r="J50" i="5"/>
  <c r="K56" i="5"/>
  <c r="K50" i="5"/>
  <c r="U22" i="2" l="1"/>
  <c r="S22" i="2"/>
  <c r="J22" i="6" l="1"/>
  <c r="M22" i="6" s="1"/>
  <c r="I23" i="6" l="1"/>
  <c r="I21" i="6"/>
  <c r="G22" i="6" l="1"/>
  <c r="G23" i="6"/>
  <c r="F22" i="6" l="1"/>
  <c r="F23" i="6"/>
  <c r="E23" i="6" l="1"/>
  <c r="E26" i="6"/>
  <c r="K15" i="8" l="1"/>
  <c r="K17" i="8"/>
  <c r="K21" i="8" l="1"/>
  <c r="K19" i="8"/>
  <c r="K18" i="8"/>
  <c r="K16" i="8"/>
  <c r="I22" i="6"/>
  <c r="O22" i="6" s="1"/>
  <c r="I26" i="6"/>
  <c r="S24" i="2"/>
  <c r="T24" i="2" s="1"/>
  <c r="S23" i="2"/>
  <c r="F22" i="2"/>
  <c r="R24" i="2"/>
  <c r="E22" i="2"/>
  <c r="R23" i="2"/>
  <c r="K31" i="8" l="1"/>
  <c r="H17" i="19"/>
  <c r="H15" i="19" s="1"/>
  <c r="G17" i="19"/>
  <c r="J22" i="2"/>
  <c r="H21" i="2"/>
  <c r="T23" i="2"/>
  <c r="T22" i="2" s="1"/>
  <c r="R22" i="2" s="1"/>
  <c r="I65" i="6"/>
  <c r="G15" i="19" l="1"/>
  <c r="G18" i="19"/>
  <c r="G19" i="19" s="1"/>
  <c r="E19" i="2"/>
  <c r="D19" i="2" s="1"/>
  <c r="E18" i="2"/>
  <c r="D18" i="2" s="1"/>
  <c r="H18" i="19" l="1"/>
  <c r="H19" i="19" s="1"/>
  <c r="B27" i="2"/>
  <c r="B25" i="2"/>
  <c r="K23" i="2" l="1"/>
  <c r="L23" i="2" s="1"/>
  <c r="J21" i="2"/>
  <c r="I25" i="16"/>
  <c r="J25" i="16"/>
  <c r="H25" i="16"/>
  <c r="K22" i="2" l="1"/>
  <c r="K21" i="2" s="1"/>
  <c r="M23" i="2"/>
  <c r="L22" i="2" l="1"/>
  <c r="L21" i="2" s="1"/>
  <c r="N23" i="2"/>
  <c r="M22" i="2"/>
  <c r="N22" i="2" l="1"/>
  <c r="N21" i="2" s="1"/>
  <c r="M21" i="2"/>
  <c r="G47" i="6"/>
  <c r="F47" i="6"/>
  <c r="E47" i="6"/>
  <c r="G40" i="6"/>
  <c r="F40" i="6"/>
  <c r="E40" i="6"/>
  <c r="O40" i="6" s="1"/>
  <c r="G33" i="6"/>
  <c r="F33" i="6"/>
  <c r="E33" i="6"/>
  <c r="G26" i="6"/>
  <c r="F26" i="6"/>
  <c r="E21" i="6"/>
  <c r="F21" i="6"/>
  <c r="G21" i="6"/>
  <c r="E24" i="6"/>
  <c r="F24" i="6"/>
  <c r="G24" i="6"/>
  <c r="E25" i="6"/>
  <c r="F25" i="6"/>
  <c r="G25" i="6"/>
  <c r="G19" i="6" l="1"/>
  <c r="E19" i="6"/>
  <c r="F19" i="6"/>
  <c r="E34" i="5" l="1"/>
  <c r="B17" i="2"/>
  <c r="B20" i="2"/>
  <c r="E21" i="2"/>
  <c r="F21" i="2"/>
  <c r="I21" i="2"/>
  <c r="D21" i="2"/>
  <c r="A14" i="19"/>
  <c r="A13" i="19"/>
  <c r="A14" i="18"/>
  <c r="A13" i="18"/>
  <c r="J5" i="6"/>
  <c r="J5" i="5"/>
  <c r="I26" i="16"/>
  <c r="J26" i="16"/>
  <c r="H26" i="16"/>
  <c r="K26" i="16" l="1"/>
  <c r="I47" i="6" l="1"/>
  <c r="J26" i="6"/>
  <c r="M26" i="6" s="1"/>
  <c r="J25" i="6"/>
  <c r="M25" i="6" s="1"/>
  <c r="I25" i="6"/>
  <c r="O25" i="6" s="1"/>
  <c r="J24" i="6"/>
  <c r="M24" i="6" s="1"/>
  <c r="I24" i="6"/>
  <c r="O24" i="6" s="1"/>
  <c r="J21" i="6"/>
  <c r="C47" i="6"/>
  <c r="C40" i="6"/>
  <c r="C33" i="6"/>
  <c r="C26" i="6"/>
  <c r="E29" i="5"/>
  <c r="E38" i="5" s="1"/>
  <c r="E26" i="5"/>
  <c r="E31" i="5" s="1"/>
  <c r="E25" i="5"/>
  <c r="I34" i="5"/>
  <c r="I21" i="5" s="1"/>
  <c r="J20" i="5"/>
  <c r="J17" i="5" s="1"/>
  <c r="K20" i="5"/>
  <c r="I25" i="5"/>
  <c r="I20" i="5" s="1"/>
  <c r="L18" i="5"/>
  <c r="L24" i="5"/>
  <c r="L28" i="5"/>
  <c r="L33" i="5"/>
  <c r="L37" i="5"/>
  <c r="M21" i="6" l="1"/>
  <c r="O21" i="6"/>
  <c r="O26" i="6"/>
  <c r="P26" i="6" s="1"/>
  <c r="J59" i="6"/>
  <c r="I17" i="5"/>
  <c r="J65" i="6"/>
  <c r="I68" i="6"/>
  <c r="I32" i="5"/>
  <c r="P40" i="6"/>
  <c r="I23" i="5"/>
  <c r="I48" i="5" s="1"/>
  <c r="K23" i="5"/>
  <c r="J23" i="5"/>
  <c r="L20" i="5"/>
  <c r="L34" i="5"/>
  <c r="L26" i="5"/>
  <c r="L25" i="5"/>
  <c r="K25" i="16"/>
  <c r="M65" i="6" l="1"/>
  <c r="M59" i="6"/>
  <c r="I50" i="5"/>
  <c r="I56" i="5"/>
  <c r="K54" i="5"/>
  <c r="K48" i="5"/>
  <c r="J54" i="5"/>
  <c r="J48" i="5"/>
  <c r="I54" i="5"/>
  <c r="J23" i="6"/>
  <c r="L23" i="5"/>
  <c r="L21" i="5"/>
  <c r="L32" i="5"/>
  <c r="M23" i="6" l="1"/>
  <c r="O23" i="6"/>
  <c r="J55" i="5"/>
  <c r="J49" i="5"/>
  <c r="N59" i="6"/>
  <c r="N65" i="6"/>
  <c r="N40" i="6"/>
  <c r="L56" i="5"/>
  <c r="L50" i="5"/>
  <c r="N26" i="6"/>
  <c r="L54" i="5"/>
  <c r="L48" i="5"/>
  <c r="L38" i="5"/>
  <c r="L36" i="5" s="1"/>
  <c r="K20" i="17"/>
  <c r="J47" i="6"/>
  <c r="O47" i="6" s="1"/>
  <c r="I33" i="6"/>
  <c r="J68" i="6" l="1"/>
  <c r="J62" i="6"/>
  <c r="M47" i="6"/>
  <c r="L51" i="5"/>
  <c r="K29" i="5"/>
  <c r="I19" i="6"/>
  <c r="I66" i="6"/>
  <c r="L57" i="5"/>
  <c r="P47" i="6"/>
  <c r="J33" i="6"/>
  <c r="O33" i="6" s="1"/>
  <c r="M68" i="6" l="1"/>
  <c r="M62" i="6"/>
  <c r="K27" i="5"/>
  <c r="L27" i="5" s="1"/>
  <c r="K19" i="5"/>
  <c r="K17" i="5" s="1"/>
  <c r="L17" i="5" s="1"/>
  <c r="M33" i="6"/>
  <c r="J66" i="6"/>
  <c r="J60" i="6"/>
  <c r="L29" i="5"/>
  <c r="K49" i="5"/>
  <c r="K55" i="5"/>
  <c r="J19" i="6"/>
  <c r="N47" i="6"/>
  <c r="M66" i="6" l="1"/>
  <c r="M60" i="6"/>
  <c r="M19" i="6"/>
  <c r="N19" i="6" s="1"/>
  <c r="O19" i="6"/>
  <c r="L19" i="5"/>
  <c r="P33" i="6"/>
  <c r="L55" i="5"/>
  <c r="L49" i="5"/>
  <c r="N62" i="6"/>
  <c r="N68" i="6"/>
  <c r="P19" i="6" l="1"/>
  <c r="N33" i="6"/>
</calcChain>
</file>

<file path=xl/sharedStrings.xml><?xml version="1.0" encoding="utf-8"?>
<sst xmlns="http://schemas.openxmlformats.org/spreadsheetml/2006/main" count="496" uniqueCount="182">
  <si>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</si>
  <si>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</si>
  <si>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</si>
  <si>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</si>
  <si>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</si>
  <si>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</si>
  <si>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</si>
  <si>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</si>
  <si>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</si>
  <si>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</si>
  <si>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</si>
  <si>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Подпрограмма 1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</si>
  <si>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</si>
  <si>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</si>
  <si>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</si>
  <si>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</si>
  <si>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</si>
  <si>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</si>
  <si>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</si>
  <si>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</si>
  <si>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</si>
  <si>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</si>
  <si>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</si>
  <si>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</si>
  <si>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</si>
  <si>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</si>
  <si>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</si>
  <si>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</si>
  <si>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</si>
  <si>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</si>
  <si>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</si>
  <si>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</si>
  <si>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</si>
  <si>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</si>
  <si>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</si>
  <si>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</si>
  <si>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</si>
  <si>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</si>
  <si>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</si>
  <si>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</si>
  <si>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</si>
  <si>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</si>
  <si>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</si>
  <si>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</si>
  <si>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</si>
  <si>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</si>
  <si>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</si>
  <si>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</si>
  <si>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</si>
  <si>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</si>
  <si>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</si>
  <si>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</si>
  <si>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</si>
  <si>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</si>
  <si>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</si>
  <si>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</si>
  <si>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</si>
  <si>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Администрация Туруханского района</t>
  </si>
  <si>
    <t>Управление ЖКХ и строительства администрации Туруханского района</t>
  </si>
  <si>
    <t>0930074920</t>
  </si>
  <si>
    <t>мероприятий подпрограммы 3 «Безопасность дорожного движения в Туруханском районе»</t>
  </si>
  <si>
    <t>0113</t>
  </si>
  <si>
    <t>км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</si>
  <si>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</si>
  <si>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</si>
  <si>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</si>
  <si>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</si>
  <si>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</si>
  <si>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</si>
  <si>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</si>
  <si>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</si>
  <si>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</si>
  <si>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</si>
  <si>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</si>
  <si>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</si>
  <si>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</si>
  <si>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</si>
  <si>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</si>
  <si>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</si>
  <si>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</si>
  <si>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Территориальное управление администрации Туруханского района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</si>
  <si>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</si>
  <si>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</si>
  <si>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</si>
  <si>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</si>
  <si>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</si>
  <si>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</si>
  <si>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</si>
  <si>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</si>
  <si>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</si>
  <si>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</si>
  <si>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</si>
  <si>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</si>
  <si>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</si>
  <si>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</si>
  <si>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</si>
  <si>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поездок / человек</t>
  </si>
  <si>
    <t>среднегодовая численность населения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</si>
  <si>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</si>
  <si>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</si>
  <si>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</si>
  <si>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</si>
  <si>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</si>
  <si>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</si>
  <si>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</si>
  <si>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 xml:space="preserve">Социальный риск (число лиц, погибших в дорожно-транспортных происшествиях, на 100 тыс. населения)
</t>
  </si>
  <si>
    <t xml:space="preserve">Транспортный риск (число лиц, погибших в дорожно-транспортных происшествиях, на 10 тыс. транспортных средств)
</t>
  </si>
  <si>
    <t>человек на 100 тысяч населения</t>
  </si>
  <si>
    <t>человек на 10 тысяч транспортных средств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</si>
  <si>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</si>
  <si>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</si>
  <si>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</si>
  <si>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</si>
  <si>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перевезено пассажиров авиа</t>
  </si>
  <si>
    <t>перевезено пассажиров авто</t>
  </si>
  <si>
    <t>Развитие связи на территории Туруханского района</t>
  </si>
  <si>
    <t>Приложение № 6</t>
  </si>
  <si>
    <t>Приложение № 7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</si>
  <si>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</si>
  <si>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</si>
  <si>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</si>
  <si>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</si>
  <si>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</si>
  <si>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</si>
  <si>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</si>
  <si>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0940081600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</si>
  <si>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</si>
  <si>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</si>
  <si>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</si>
  <si>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</si>
  <si>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Приложение
к подпрограмме № 4 «Развитие связи на территории Туруханского района»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</si>
  <si>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</si>
  <si>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t>тыс. рублей</t>
  </si>
  <si>
    <t>Расходы бюджетов муниципальных образований на реализацию мероприятий, направленных на повышение безопасности дорожного движения</t>
  </si>
  <si>
    <t>0930073980</t>
  </si>
  <si>
    <t>0702</t>
  </si>
  <si>
    <t>09300S3980</t>
  </si>
  <si>
    <t>Управление образования администрации Туруханского района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</si>
  <si>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</t>
  </si>
  <si>
    <t>Расходы на содержание автомобильных дорог общего пользования местного значения за счет средств дорожного фонда Красноярского края</t>
  </si>
  <si>
    <t xml:space="preserve"> </t>
  </si>
  <si>
    <t>0910075080</t>
  </si>
  <si>
    <t>0910075090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</si>
  <si>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</si>
  <si>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</si>
  <si>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</si>
  <si>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</si>
  <si>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</si>
  <si>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</si>
  <si>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число транспортных средств</t>
  </si>
  <si>
    <t>Проведение мероприятий, направленных на обеспечение безопасного участия детей в дорожном движении</t>
  </si>
  <si>
    <t>Поддержание  спутниковых каналов связи и организация доступа к внутризоновой, междугородней и международной связи, а также доступа к сети Интернет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</si>
  <si>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</si>
  <si>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</si>
  <si>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0940076450</t>
  </si>
  <si>
    <t>09400S6450</t>
  </si>
  <si>
    <t>0410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</si>
  <si>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</si>
  <si>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</si>
  <si>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</si>
  <si>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</si>
  <si>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t>2021 год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</si>
  <si>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</si>
  <si>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</si>
  <si>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</si>
  <si>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</si>
  <si>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0910081520</t>
  </si>
  <si>
    <t>0910083940</t>
  </si>
  <si>
    <t>Содержание зимней автодороги Игарка - Светлогосрк - Туруханск</t>
  </si>
  <si>
    <t>1.7.</t>
  </si>
  <si>
    <t>Обустройство и содержание зимней автодороги Игарка - Светлогосрк - Туруханск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</si>
  <si>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</si>
  <si>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</si>
  <si>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</si>
  <si>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Приложение № 1
к постановлению 
администрации  Туруханского района 
от_22.04.2019 № 376-п</t>
  </si>
  <si>
    <t>Приложение № 2
к постановлению 
администрации  Туруханского района 
от 22.04.2019 № 376-п</t>
  </si>
  <si>
    <t>Приложение № 3
к постановлению 
администрации  Туруханского района 
от 22.04.2019 № 376-п</t>
  </si>
  <si>
    <t>Приложение № 4
к постановлению 
администрации  Туруханского района 
от  22.04.2019 № 376-п</t>
  </si>
  <si>
    <t>Приложение № 5
к постановлению 
администрации  Туруханского района 
от 22.04.2019 № 376-п</t>
  </si>
  <si>
    <t>Приложение № 6
к постановлению 
администрации  Туруханского района 
от 22.04.2016 № 376-п</t>
  </si>
  <si>
    <t>Приложение № 7
к постановлению 
администрации  Туруханского района 
от  22.04.2019 № 376-п</t>
  </si>
  <si>
    <t>Приложение № 8
к постановлению 
администрации  Туруханского района 
от 22.04.2019 № 376-п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</si>
</sst>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_р_._-;\-* #,##0_р_._-;_-* &quot;-&quot;??_р_._-;_-@_-"/>
    <numFmt numFmtId="167" formatCode="#,##0.000_ ;\-#,##0.000\ "/>
    <numFmt numFmtId="168" formatCode="#,##0.000"/>
    <numFmt numFmtId="169" formatCode="0.0"/>
    <numFmt numFmtId="170" formatCode="_-* #,##0.000_р_._-;\-* #,##0.000_р_._-;_-* &quot;-&quot;???_р_._-;_-@_-"/>
    <numFmt numFmtId="172" formatCode="_-* #,##0.0_р_._-;\-* #,##0.0_р_._-;_-* &quot;-&quot;??_р_._-;_-@_-"/>
  </numFmts>
  <fonts count="17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2"/>
      <charset val="204"/>
    </font>
    <font>
      <vertAlign val="superscript"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2"/>
      <charset val="204"/>
    </font>
    <font>
      <b/>
      <sz val="14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vertAlign val="superscript"/>
      <sz val="12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20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43" fontId="2" fillId="0" borderId="0" xfId="0" applyNumberFormat="1" applyFo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/>
    <xf numFmtId="166" fontId="2" fillId="0" borderId="1" xfId="2" applyNumberFormat="1" applyFont="1" applyFill="1" applyBorder="1" applyAlignment="1">
      <alignment vertical="center" wrapText="1"/>
    </xf>
    <xf numFmtId="0" fontId="3" fillId="3" borderId="0" xfId="0" applyFont="1" applyFill="1"/>
    <xf numFmtId="2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2" fontId="2" fillId="3" borderId="1" xfId="0" applyNumberFormat="1" applyFont="1" applyFill="1" applyBorder="1" applyAlignment="1">
      <alignment vertical="center" wrapText="1"/>
    </xf>
    <xf numFmtId="164" fontId="2" fillId="0" borderId="1" xfId="2" applyNumberFormat="1" applyFont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horizontal="left" vertical="center" wrapText="1"/>
    </xf>
    <xf numFmtId="167" fontId="3" fillId="0" borderId="0" xfId="2" applyNumberFormat="1" applyFont="1"/>
    <xf numFmtId="168" fontId="6" fillId="3" borderId="1" xfId="2" applyNumberFormat="1" applyFont="1" applyFill="1" applyBorder="1" applyAlignment="1">
      <alignment vertical="center" wrapText="1"/>
    </xf>
    <xf numFmtId="168" fontId="6" fillId="0" borderId="1" xfId="2" applyNumberFormat="1" applyFont="1" applyBorder="1" applyAlignment="1">
      <alignment vertical="center" wrapText="1"/>
    </xf>
    <xf numFmtId="168" fontId="3" fillId="0" borderId="0" xfId="0" applyNumberFormat="1" applyFont="1"/>
    <xf numFmtId="168" fontId="3" fillId="0" borderId="0" xfId="2" applyNumberFormat="1" applyFont="1"/>
    <xf numFmtId="168" fontId="4" fillId="3" borderId="1" xfId="2" applyNumberFormat="1" applyFont="1" applyFill="1" applyBorder="1" applyAlignment="1">
      <alignment vertical="center" wrapText="1"/>
    </xf>
    <xf numFmtId="168" fontId="4" fillId="0" borderId="1" xfId="2" applyNumberFormat="1" applyFont="1" applyBorder="1" applyAlignment="1">
      <alignment vertical="center" wrapText="1"/>
    </xf>
    <xf numFmtId="168" fontId="2" fillId="3" borderId="1" xfId="2" applyNumberFormat="1" applyFont="1" applyFill="1" applyBorder="1" applyAlignment="1">
      <alignment vertical="center" wrapText="1"/>
    </xf>
    <xf numFmtId="168" fontId="2" fillId="3" borderId="1" xfId="2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vertical="center" wrapText="1"/>
    </xf>
    <xf numFmtId="170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 wrapText="1"/>
    </xf>
    <xf numFmtId="2" fontId="14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3" fontId="3" fillId="0" borderId="0" xfId="2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164" fontId="8" fillId="4" borderId="1" xfId="2" applyNumberFormat="1" applyFont="1" applyFill="1" applyBorder="1" applyAlignment="1">
      <alignment horizontal="left" vertical="center" wrapText="1"/>
    </xf>
    <xf numFmtId="170" fontId="2" fillId="0" borderId="0" xfId="0" applyNumberFormat="1" applyFont="1"/>
    <xf numFmtId="49" fontId="8" fillId="2" borderId="1" xfId="0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vertical="center" wrapText="1"/>
    </xf>
    <xf numFmtId="168" fontId="3" fillId="0" borderId="10" xfId="0" applyNumberFormat="1" applyFont="1" applyBorder="1"/>
    <xf numFmtId="168" fontId="3" fillId="0" borderId="10" xfId="2" applyNumberFormat="1" applyFont="1" applyBorder="1"/>
    <xf numFmtId="0" fontId="3" fillId="0" borderId="10" xfId="0" applyFont="1" applyBorder="1"/>
    <xf numFmtId="168" fontId="3" fillId="0" borderId="0" xfId="0" applyNumberFormat="1" applyFont="1" applyBorder="1"/>
    <xf numFmtId="168" fontId="3" fillId="0" borderId="0" xfId="2" applyNumberFormat="1" applyFont="1" applyBorder="1"/>
    <xf numFmtId="0" fontId="3" fillId="0" borderId="0" xfId="0" applyFont="1" applyBorder="1"/>
    <xf numFmtId="168" fontId="3" fillId="0" borderId="9" xfId="0" applyNumberFormat="1" applyFont="1" applyBorder="1"/>
    <xf numFmtId="168" fontId="3" fillId="0" borderId="9" xfId="2" applyNumberFormat="1" applyFont="1" applyBorder="1"/>
    <xf numFmtId="0" fontId="3" fillId="0" borderId="9" xfId="0" applyFont="1" applyBorder="1"/>
    <xf numFmtId="168" fontId="9" fillId="0" borderId="1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8" fillId="2" borderId="1" xfId="2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2" fillId="0" borderId="1" xfId="2" applyFont="1" applyFill="1" applyBorder="1" applyAlignment="1">
      <alignment horizontal="center" vertical="center" wrapText="1"/>
    </xf>
    <xf numFmtId="43" fontId="8" fillId="4" borderId="1" xfId="2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3" fontId="8" fillId="2" borderId="1" xfId="2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0" fontId="2" fillId="3" borderId="0" xfId="0" applyNumberFormat="1" applyFont="1" applyFill="1"/>
    <xf numFmtId="0" fontId="0" fillId="3" borderId="1" xfId="0" applyFont="1" applyFill="1" applyBorder="1" applyAlignment="1">
      <alignment vertical="center" wrapText="1"/>
    </xf>
    <xf numFmtId="1" fontId="0" fillId="3" borderId="1" xfId="0" applyNumberFormat="1" applyFont="1" applyFill="1" applyBorder="1" applyAlignment="1">
      <alignment vertical="center" wrapText="1"/>
    </xf>
    <xf numFmtId="2" fontId="0" fillId="3" borderId="1" xfId="0" applyNumberFormat="1" applyFont="1" applyFill="1" applyBorder="1" applyAlignment="1">
      <alignment vertical="center" wrapText="1"/>
    </xf>
    <xf numFmtId="43" fontId="5" fillId="0" borderId="1" xfId="2" applyNumberFormat="1" applyFont="1" applyFill="1" applyBorder="1" applyAlignment="1">
      <alignment vertical="center" wrapText="1"/>
    </xf>
    <xf numFmtId="43" fontId="2" fillId="0" borderId="1" xfId="2" applyFont="1" applyFill="1" applyBorder="1" applyAlignment="1">
      <alignment vertical="center" wrapText="1"/>
    </xf>
    <xf numFmtId="172" fontId="4" fillId="0" borderId="1" xfId="2" applyNumberFormat="1" applyFont="1" applyFill="1" applyBorder="1" applyAlignment="1">
      <alignment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43" fontId="3" fillId="0" borderId="0" xfId="2" applyFont="1"/>
    <xf numFmtId="170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3" fontId="2" fillId="0" borderId="1" xfId="2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30"/>
  <sheetViews>
    <sheetView view="pageBreakPreview" zoomScale="55" zoomScaleNormal="70" zoomScaleSheetLayoutView="55" workbookViewId="0">
      <selection activeCell="B17" sqref="B17:N17"/>
    </sheetView>
  </sheetViews>
  <sheetFormatPr defaultRowHeight="15.75" outlineLevelRow="1" x14ac:dyDescent="0.25"/>
  <cols>
    <col min="1" max="1" width="6.375" style="4" customWidth="1"/>
    <col min="2" max="2" width="24.375" style="1" customWidth="1"/>
    <col min="3" max="3" width="11.75" style="1" customWidth="1"/>
    <col min="4" max="4" width="8.875" style="1" customWidth="1"/>
    <col min="5" max="5" width="12" style="1" customWidth="1"/>
    <col min="6" max="6" width="12.25" style="1" customWidth="1"/>
    <col min="7" max="7" width="11" style="1" customWidth="1"/>
    <col min="8" max="8" width="13.25" style="1" customWidth="1"/>
    <col min="9" max="12" width="10.25" style="1" customWidth="1"/>
    <col min="13" max="14" width="14.875" style="1" customWidth="1"/>
    <col min="15" max="16384" width="9" style="1"/>
  </cols>
  <sheetData>
    <row r="1" spans="1:14" ht="75.75" customHeight="1" outlineLevel="1" x14ac:dyDescent="0.25">
      <c r="J1" s="161" t="s">
        <v>174</v>
      </c>
      <c r="K1" s="161"/>
      <c r="L1" s="161"/>
      <c r="M1" s="161"/>
      <c r="N1" s="161"/>
    </row>
    <row r="2" spans="1:14" outlineLevel="1" x14ac:dyDescent="0.25"/>
    <row r="3" spans="1:14" outlineLevel="1" x14ac:dyDescent="0.25"/>
    <row r="4" spans="1:14" ht="18.75" x14ac:dyDescent="0.25">
      <c r="J4" s="3" t="s">
        <v>10</v>
      </c>
      <c r="K4" s="3"/>
      <c r="L4" s="3"/>
      <c r="M4" s="26"/>
      <c r="N4" s="26"/>
    </row>
    <row r="5" spans="1:14" ht="56.25" customHeight="1" x14ac:dyDescent="0.25">
      <c r="J5" s="162" t="s">
        <v>104</v>
      </c>
      <c r="K5" s="162"/>
      <c r="L5" s="162"/>
      <c r="M5" s="162"/>
      <c r="N5" s="162"/>
    </row>
    <row r="8" spans="1:14" ht="18.75" x14ac:dyDescent="0.25">
      <c r="A8" s="165" t="s">
        <v>1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14" ht="18.75" x14ac:dyDescent="0.25">
      <c r="A9" s="165" t="s">
        <v>9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ht="18.75" x14ac:dyDescent="0.25">
      <c r="A10" s="165" t="s">
        <v>7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ht="18.75" x14ac:dyDescent="0.25">
      <c r="A11" s="165" t="s">
        <v>8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</row>
    <row r="12" spans="1:14" ht="18.75" x14ac:dyDescent="0.25">
      <c r="A12" s="2"/>
    </row>
    <row r="13" spans="1:14" ht="24.75" customHeight="1" x14ac:dyDescent="0.25">
      <c r="A13" s="155" t="s">
        <v>12</v>
      </c>
      <c r="B13" s="155" t="s">
        <v>4</v>
      </c>
      <c r="C13" s="155" t="s">
        <v>2</v>
      </c>
      <c r="D13" s="155" t="s">
        <v>76</v>
      </c>
      <c r="E13" s="155" t="s">
        <v>5</v>
      </c>
      <c r="F13" s="155"/>
      <c r="G13" s="155"/>
      <c r="H13" s="155"/>
      <c r="I13" s="155"/>
      <c r="J13" s="155"/>
      <c r="K13" s="155"/>
      <c r="L13" s="155"/>
      <c r="M13" s="155"/>
      <c r="N13" s="155"/>
    </row>
    <row r="14" spans="1:14" ht="72" customHeight="1" x14ac:dyDescent="0.25">
      <c r="A14" s="155"/>
      <c r="B14" s="155"/>
      <c r="C14" s="155"/>
      <c r="D14" s="155"/>
      <c r="E14" s="155" t="s">
        <v>49</v>
      </c>
      <c r="F14" s="155" t="s">
        <v>50</v>
      </c>
      <c r="G14" s="166" t="s">
        <v>54</v>
      </c>
      <c r="H14" s="155" t="s">
        <v>46</v>
      </c>
      <c r="I14" s="155" t="s">
        <v>47</v>
      </c>
      <c r="J14" s="155" t="s">
        <v>48</v>
      </c>
      <c r="K14" s="155" t="s">
        <v>51</v>
      </c>
      <c r="L14" s="155" t="s">
        <v>161</v>
      </c>
      <c r="M14" s="160" t="s">
        <v>6</v>
      </c>
      <c r="N14" s="160"/>
    </row>
    <row r="15" spans="1:14" x14ac:dyDescent="0.25">
      <c r="A15" s="155"/>
      <c r="B15" s="155"/>
      <c r="C15" s="155"/>
      <c r="D15" s="155"/>
      <c r="E15" s="155"/>
      <c r="F15" s="155"/>
      <c r="G15" s="166"/>
      <c r="H15" s="155"/>
      <c r="I15" s="155"/>
      <c r="J15" s="155"/>
      <c r="K15" s="155"/>
      <c r="L15" s="155"/>
      <c r="M15" s="103" t="s">
        <v>52</v>
      </c>
      <c r="N15" s="103" t="s">
        <v>53</v>
      </c>
    </row>
    <row r="16" spans="1:14" x14ac:dyDescent="0.25">
      <c r="A16" s="103">
        <v>1</v>
      </c>
      <c r="B16" s="103">
        <v>2</v>
      </c>
      <c r="C16" s="103">
        <v>3</v>
      </c>
      <c r="D16" s="103">
        <v>4</v>
      </c>
      <c r="E16" s="103">
        <v>5</v>
      </c>
      <c r="F16" s="103">
        <v>6</v>
      </c>
      <c r="G16" s="103">
        <v>7</v>
      </c>
      <c r="H16" s="103">
        <v>8</v>
      </c>
      <c r="I16" s="103">
        <v>9</v>
      </c>
      <c r="J16" s="103">
        <v>10</v>
      </c>
      <c r="K16" s="103">
        <v>11</v>
      </c>
      <c r="L16" s="122">
        <v>12</v>
      </c>
      <c r="M16" s="122">
        <v>13</v>
      </c>
      <c r="N16" s="122">
        <v>14</v>
      </c>
    </row>
    <row r="17" spans="1:21" s="29" customFormat="1" x14ac:dyDescent="0.25">
      <c r="A17" s="104">
        <v>1</v>
      </c>
      <c r="B17" s="159" t="e">
        <f>#REF!</f>
        <v>#REF!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pans="1:21" s="29" customFormat="1" ht="71.25" customHeight="1" x14ac:dyDescent="0.25">
      <c r="A18" s="157" t="s">
        <v>3</v>
      </c>
      <c r="B18" s="158" t="s">
        <v>101</v>
      </c>
      <c r="C18" s="104" t="s">
        <v>62</v>
      </c>
      <c r="D18" s="135">
        <f>E18</f>
        <v>120.8</v>
      </c>
      <c r="E18" s="46">
        <f>F18</f>
        <v>120.8</v>
      </c>
      <c r="F18" s="46">
        <v>120.8</v>
      </c>
      <c r="G18" s="46">
        <v>130.023</v>
      </c>
      <c r="H18" s="151">
        <v>156.34</v>
      </c>
      <c r="I18" s="136">
        <v>157.30000000000001</v>
      </c>
      <c r="J18" s="136">
        <v>157</v>
      </c>
      <c r="K18" s="136">
        <f t="shared" ref="K18:N19" si="0">J18</f>
        <v>157</v>
      </c>
      <c r="L18" s="136">
        <f t="shared" si="0"/>
        <v>157</v>
      </c>
      <c r="M18" s="136">
        <f>K18</f>
        <v>157</v>
      </c>
      <c r="N18" s="136">
        <f t="shared" si="0"/>
        <v>157</v>
      </c>
    </row>
    <row r="19" spans="1:21" s="29" customFormat="1" ht="71.25" customHeight="1" x14ac:dyDescent="0.25">
      <c r="A19" s="157"/>
      <c r="B19" s="158"/>
      <c r="C19" s="104" t="s">
        <v>100</v>
      </c>
      <c r="D19" s="137">
        <f>E19</f>
        <v>46.39</v>
      </c>
      <c r="E19" s="137">
        <f>F19</f>
        <v>46.39</v>
      </c>
      <c r="F19" s="137">
        <v>46.39</v>
      </c>
      <c r="G19" s="137">
        <v>47.52</v>
      </c>
      <c r="H19" s="152">
        <v>57.14</v>
      </c>
      <c r="I19" s="153">
        <v>57.49</v>
      </c>
      <c r="J19" s="136">
        <v>57.3</v>
      </c>
      <c r="K19" s="136">
        <f t="shared" si="0"/>
        <v>57.3</v>
      </c>
      <c r="L19" s="136">
        <f t="shared" si="0"/>
        <v>57.3</v>
      </c>
      <c r="M19" s="136">
        <f>K19</f>
        <v>57.3</v>
      </c>
      <c r="N19" s="136">
        <f t="shared" si="0"/>
        <v>57.3</v>
      </c>
    </row>
    <row r="20" spans="1:21" x14ac:dyDescent="0.25">
      <c r="A20" s="57">
        <v>2</v>
      </c>
      <c r="B20" s="156" t="e">
        <f>#REF!</f>
        <v>#REF!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</row>
    <row r="21" spans="1:21" s="29" customFormat="1" ht="92.25" customHeight="1" x14ac:dyDescent="0.25">
      <c r="A21" s="113" t="s">
        <v>71</v>
      </c>
      <c r="B21" s="114" t="s">
        <v>160</v>
      </c>
      <c r="C21" s="115" t="s">
        <v>96</v>
      </c>
      <c r="D21" s="35">
        <f t="shared" ref="D21:I21" si="1">(D22+D23)*1000/D24</f>
        <v>13.264339719174577</v>
      </c>
      <c r="E21" s="35">
        <f t="shared" si="1"/>
        <v>13.638444873821653</v>
      </c>
      <c r="F21" s="35">
        <f t="shared" si="1"/>
        <v>14.499670875471246</v>
      </c>
      <c r="G21" s="35">
        <f t="shared" si="1"/>
        <v>13.02447428462952</v>
      </c>
      <c r="H21" s="35">
        <f t="shared" si="1"/>
        <v>12.647233936988339</v>
      </c>
      <c r="I21" s="35">
        <f t="shared" si="1"/>
        <v>10.762839884769079</v>
      </c>
      <c r="J21" s="35">
        <f>(J22+J23)*1000/J24</f>
        <v>10.960933211691271</v>
      </c>
      <c r="K21" s="35">
        <f>(K22+K23)*1000/K24</f>
        <v>10.96093321169127</v>
      </c>
      <c r="L21" s="35">
        <f>(L22+L23)*1000/L24</f>
        <v>10.96093321169127</v>
      </c>
      <c r="M21" s="35">
        <f t="shared" ref="M21:N21" si="2">(M22+M23)*1000/M24</f>
        <v>10.960933211691266</v>
      </c>
      <c r="N21" s="35">
        <f t="shared" si="2"/>
        <v>10.960933211691268</v>
      </c>
    </row>
    <row r="22" spans="1:21" s="34" customFormat="1" ht="31.5" hidden="1" outlineLevel="1" x14ac:dyDescent="0.25">
      <c r="A22" s="30"/>
      <c r="B22" s="31" t="s">
        <v>113</v>
      </c>
      <c r="C22" s="32" t="s">
        <v>64</v>
      </c>
      <c r="D22" s="44">
        <v>9.3330000000000002</v>
      </c>
      <c r="E22" s="44">
        <f>(777+712+747+993+692+638+635+689+608+702+764+974)/1000</f>
        <v>8.9309999999999992</v>
      </c>
      <c r="F22" s="133">
        <f>(667+666+804+826+713+647+657+674+580+594+714+762)/1000</f>
        <v>8.3040000000000003</v>
      </c>
      <c r="G22" s="133">
        <v>8.2880000000000003</v>
      </c>
      <c r="H22" s="133">
        <v>7.5739999999999998</v>
      </c>
      <c r="I22" s="133">
        <v>7.8719999999999999</v>
      </c>
      <c r="J22" s="133">
        <f t="shared" ref="J22" si="3">I22</f>
        <v>7.8719999999999999</v>
      </c>
      <c r="K22" s="133">
        <f>K23/J23*J22</f>
        <v>7.733192612137203</v>
      </c>
      <c r="L22" s="133">
        <f>L23/K23*K22</f>
        <v>7.6004643799472298</v>
      </c>
      <c r="M22" s="133">
        <f>M23/K23*K22</f>
        <v>7.1455408970976242</v>
      </c>
      <c r="N22" s="133">
        <f t="shared" ref="N22" si="4">N23/M23*M22</f>
        <v>6.8238522427440627</v>
      </c>
      <c r="O22" s="29"/>
      <c r="R22" s="34">
        <f>S22/T22</f>
        <v>8750.4156067643489</v>
      </c>
      <c r="S22" s="34">
        <f>745+450+643+899+919+825+673+707</f>
        <v>5861</v>
      </c>
      <c r="T22" s="34">
        <f>AVERAGE(T23:T24)</f>
        <v>0.66979675747849754</v>
      </c>
      <c r="U22" s="34">
        <f>700*5</f>
        <v>3500</v>
      </c>
    </row>
    <row r="23" spans="1:21" s="34" customFormat="1" ht="31.5" hidden="1" outlineLevel="1" x14ac:dyDescent="0.25">
      <c r="A23" s="30"/>
      <c r="B23" s="31" t="s">
        <v>114</v>
      </c>
      <c r="C23" s="32" t="s">
        <v>64</v>
      </c>
      <c r="D23" s="44">
        <v>224</v>
      </c>
      <c r="E23" s="44">
        <v>224</v>
      </c>
      <c r="F23" s="44">
        <v>234</v>
      </c>
      <c r="G23" s="133">
        <v>205.6129411764706</v>
      </c>
      <c r="H23" s="133">
        <v>196.34999999999997</v>
      </c>
      <c r="I23" s="133">
        <v>162.44994117647065</v>
      </c>
      <c r="J23" s="133">
        <v>162.44994117647065</v>
      </c>
      <c r="K23" s="116">
        <f>K24/J24*J23</f>
        <v>159.58545286433002</v>
      </c>
      <c r="L23" s="116">
        <f>L24/K24*K23</f>
        <v>156.84641659505689</v>
      </c>
      <c r="M23" s="116">
        <f>M24/K24*K23</f>
        <v>147.45842205380771</v>
      </c>
      <c r="N23" s="116">
        <f t="shared" ref="N23" si="5">N24/M24*M23</f>
        <v>140.81991811873732</v>
      </c>
      <c r="O23" s="29"/>
      <c r="R23" s="34">
        <f>777+712+747+993+692+638+635+689+608+702+764+974</f>
        <v>8931</v>
      </c>
      <c r="S23" s="34">
        <f>777+712+747+993+692+638+635+689</f>
        <v>5883</v>
      </c>
      <c r="T23" s="34">
        <f>S23/R23</f>
        <v>0.65871682902250583</v>
      </c>
    </row>
    <row r="24" spans="1:21" s="34" customFormat="1" ht="31.5" hidden="1" outlineLevel="1" x14ac:dyDescent="0.25">
      <c r="A24" s="30"/>
      <c r="B24" s="31" t="s">
        <v>97</v>
      </c>
      <c r="C24" s="32" t="s">
        <v>69</v>
      </c>
      <c r="D24" s="33">
        <v>17591</v>
      </c>
      <c r="E24" s="33">
        <v>17079</v>
      </c>
      <c r="F24" s="33">
        <v>16711</v>
      </c>
      <c r="G24" s="131">
        <v>16423</v>
      </c>
      <c r="H24" s="131">
        <v>16124</v>
      </c>
      <c r="I24" s="131">
        <v>15825</v>
      </c>
      <c r="J24" s="131">
        <v>15539</v>
      </c>
      <c r="K24" s="132">
        <v>15265</v>
      </c>
      <c r="L24" s="132">
        <v>15003</v>
      </c>
      <c r="M24" s="132">
        <v>14105</v>
      </c>
      <c r="N24" s="132">
        <v>13470</v>
      </c>
      <c r="O24" s="29"/>
      <c r="R24" s="34">
        <f>667+666+804+826+713+647+657+674+580+594+714+762</f>
        <v>8304</v>
      </c>
      <c r="S24" s="34">
        <f>667+666+804+826+713+647+657+674</f>
        <v>5654</v>
      </c>
      <c r="T24" s="34">
        <f>S24/R24</f>
        <v>0.68087668593448936</v>
      </c>
    </row>
    <row r="25" spans="1:21" ht="15.75" customHeight="1" collapsed="1" x14ac:dyDescent="0.25">
      <c r="A25" s="57">
        <v>3</v>
      </c>
      <c r="B25" s="156" t="e">
        <f>#REF!</f>
        <v>#REF!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29"/>
    </row>
    <row r="26" spans="1:21" ht="54" customHeight="1" x14ac:dyDescent="0.25">
      <c r="A26" s="25" t="s">
        <v>92</v>
      </c>
      <c r="B26" s="58" t="s">
        <v>68</v>
      </c>
      <c r="C26" s="57" t="s">
        <v>69</v>
      </c>
      <c r="D26" s="58">
        <v>2</v>
      </c>
      <c r="E26" s="58">
        <v>1</v>
      </c>
      <c r="F26" s="58">
        <v>2</v>
      </c>
      <c r="G26" s="58">
        <v>0</v>
      </c>
      <c r="H26" s="102">
        <v>3</v>
      </c>
      <c r="I26" s="102">
        <v>3</v>
      </c>
      <c r="J26" s="150">
        <v>1</v>
      </c>
      <c r="K26" s="150">
        <v>1</v>
      </c>
      <c r="L26" s="150">
        <v>1</v>
      </c>
      <c r="M26" s="150">
        <v>1</v>
      </c>
      <c r="N26" s="150">
        <v>1</v>
      </c>
      <c r="O26" s="29"/>
    </row>
    <row r="27" spans="1:21" s="29" customFormat="1" x14ac:dyDescent="0.25">
      <c r="A27" s="60">
        <v>4</v>
      </c>
      <c r="B27" s="156" t="e">
        <f>#REF!</f>
        <v>#REF!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</row>
    <row r="28" spans="1:21" s="29" customFormat="1" ht="47.25" x14ac:dyDescent="0.25">
      <c r="A28" s="28" t="s">
        <v>93</v>
      </c>
      <c r="B28" s="43" t="s">
        <v>75</v>
      </c>
      <c r="C28" s="60" t="s">
        <v>74</v>
      </c>
      <c r="D28" s="59">
        <v>8</v>
      </c>
      <c r="E28" s="59">
        <v>8</v>
      </c>
      <c r="F28" s="59">
        <v>8</v>
      </c>
      <c r="G28" s="59">
        <v>8</v>
      </c>
      <c r="H28" s="102">
        <v>8</v>
      </c>
      <c r="I28" s="102">
        <v>8</v>
      </c>
      <c r="J28" s="102">
        <v>8</v>
      </c>
      <c r="K28" s="102">
        <v>8</v>
      </c>
      <c r="L28" s="123">
        <v>8</v>
      </c>
      <c r="M28" s="102">
        <v>8</v>
      </c>
      <c r="N28" s="102">
        <v>8</v>
      </c>
    </row>
    <row r="29" spans="1:21" ht="38.25" customHeight="1" x14ac:dyDescent="0.25">
      <c r="A29" s="163" t="s">
        <v>131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</row>
    <row r="30" spans="1:21" ht="18.75" x14ac:dyDescent="0.25">
      <c r="A30" s="2"/>
    </row>
  </sheetData>
  <mergeCells count="27">
    <mergeCell ref="J1:N1"/>
    <mergeCell ref="J5:N5"/>
    <mergeCell ref="A29:N29"/>
    <mergeCell ref="A8:N8"/>
    <mergeCell ref="A9:N9"/>
    <mergeCell ref="A10:N10"/>
    <mergeCell ref="A11:N11"/>
    <mergeCell ref="A13:A15"/>
    <mergeCell ref="B13:B15"/>
    <mergeCell ref="C13:C15"/>
    <mergeCell ref="D13:D15"/>
    <mergeCell ref="E13:N13"/>
    <mergeCell ref="E14:E15"/>
    <mergeCell ref="F14:F15"/>
    <mergeCell ref="G14:G15"/>
    <mergeCell ref="H14:H15"/>
    <mergeCell ref="I14:I15"/>
    <mergeCell ref="B27:N27"/>
    <mergeCell ref="A18:A19"/>
    <mergeCell ref="B18:B19"/>
    <mergeCell ref="J14:J15"/>
    <mergeCell ref="B17:N17"/>
    <mergeCell ref="B20:N20"/>
    <mergeCell ref="B25:N25"/>
    <mergeCell ref="K14:K15"/>
    <mergeCell ref="M14:N14"/>
    <mergeCell ref="L14:L15"/>
  </mergeCells>
  <pageMargins left="0.78740157480314965" right="0.78740157480314965" top="1.1811023622047245" bottom="0.39370078740157483" header="0.31496062992125984" footer="0.31496062992125984"/>
  <pageSetup paperSize="9" scale="71" fitToHeight="0" orientation="landscape" r:id="rId1"/>
  <rowBreaks count="1" manualBreakCount="1">
    <brk id="2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43"/>
  <sheetViews>
    <sheetView view="pageBreakPreview" zoomScale="70" zoomScaleNormal="55" zoomScaleSheetLayoutView="70" workbookViewId="0">
      <selection activeCell="B4" sqref="B4"/>
    </sheetView>
  </sheetViews>
  <sheetFormatPr defaultRowHeight="18.75" outlineLevelRow="1" x14ac:dyDescent="0.25"/>
  <cols>
    <col min="1" max="1" width="4.75" style="120" customWidth="1"/>
    <col min="2" max="2" width="49.625" style="18" customWidth="1"/>
    <col min="3" max="3" width="25.125" style="18" customWidth="1"/>
    <col min="4" max="5" width="7.375" style="18" customWidth="1"/>
    <col min="6" max="6" width="17.75" style="18" customWidth="1"/>
    <col min="7" max="7" width="5.75" style="18" customWidth="1"/>
    <col min="8" max="10" width="13.75" style="18" bestFit="1" customWidth="1"/>
    <col min="11" max="11" width="20" style="18" customWidth="1"/>
    <col min="12" max="12" width="24.5" style="18" customWidth="1"/>
    <col min="13" max="13" width="57.625" style="18" customWidth="1"/>
    <col min="14" max="14" width="24" style="18" customWidth="1"/>
    <col min="15" max="16384" width="9" style="18"/>
  </cols>
  <sheetData>
    <row r="1" spans="1:12" ht="84" customHeight="1" outlineLevel="1" x14ac:dyDescent="0.3">
      <c r="K1" s="178" t="s">
        <v>175</v>
      </c>
      <c r="L1" s="178"/>
    </row>
    <row r="2" spans="1:12" outlineLevel="1" x14ac:dyDescent="0.25"/>
    <row r="3" spans="1:12" outlineLevel="1" x14ac:dyDescent="0.25"/>
    <row r="4" spans="1:12" ht="121.5" customHeight="1" x14ac:dyDescent="0.25">
      <c r="K4" s="179" t="s">
        <v>126</v>
      </c>
      <c r="L4" s="179"/>
    </row>
    <row r="7" spans="1:12" x14ac:dyDescent="0.25">
      <c r="A7" s="182" t="s">
        <v>1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</row>
    <row r="8" spans="1:12" x14ac:dyDescent="0.25">
      <c r="A8" s="182" t="s">
        <v>56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</row>
    <row r="10" spans="1:12" ht="42.75" customHeight="1" x14ac:dyDescent="0.25">
      <c r="A10" s="160" t="s">
        <v>12</v>
      </c>
      <c r="B10" s="160" t="s">
        <v>42</v>
      </c>
      <c r="C10" s="160" t="s">
        <v>140</v>
      </c>
      <c r="D10" s="160" t="s">
        <v>16</v>
      </c>
      <c r="E10" s="160"/>
      <c r="F10" s="160"/>
      <c r="G10" s="160"/>
      <c r="H10" s="160" t="s">
        <v>43</v>
      </c>
      <c r="I10" s="160"/>
      <c r="J10" s="160"/>
      <c r="K10" s="160"/>
      <c r="L10" s="160" t="s">
        <v>44</v>
      </c>
    </row>
    <row r="11" spans="1:12" ht="77.25" customHeight="1" x14ac:dyDescent="0.25">
      <c r="A11" s="160"/>
      <c r="B11" s="160"/>
      <c r="C11" s="160"/>
      <c r="D11" s="119" t="s">
        <v>18</v>
      </c>
      <c r="E11" s="119" t="s">
        <v>19</v>
      </c>
      <c r="F11" s="119" t="s">
        <v>20</v>
      </c>
      <c r="G11" s="119" t="s">
        <v>21</v>
      </c>
      <c r="H11" s="129" t="str">
        <f>'пр 7 к МП'!J$16</f>
        <v>2019 год</v>
      </c>
      <c r="I11" s="129" t="str">
        <f>'пр 7 к МП'!K$16</f>
        <v>2020 год</v>
      </c>
      <c r="J11" s="129" t="str">
        <f>'пр 7 к МП'!L$16</f>
        <v>2021 год</v>
      </c>
      <c r="K11" s="119" t="s">
        <v>45</v>
      </c>
      <c r="L11" s="160"/>
    </row>
    <row r="12" spans="1:12" x14ac:dyDescent="0.25">
      <c r="A12" s="119">
        <v>1</v>
      </c>
      <c r="B12" s="119">
        <v>2</v>
      </c>
      <c r="C12" s="119">
        <v>3</v>
      </c>
      <c r="D12" s="119">
        <v>4</v>
      </c>
      <c r="E12" s="119">
        <v>5</v>
      </c>
      <c r="F12" s="119">
        <v>6</v>
      </c>
      <c r="G12" s="119">
        <v>7</v>
      </c>
      <c r="H12" s="119">
        <v>8</v>
      </c>
      <c r="I12" s="119">
        <v>9</v>
      </c>
      <c r="J12" s="119">
        <v>10</v>
      </c>
      <c r="K12" s="119">
        <v>11</v>
      </c>
      <c r="L12" s="119">
        <v>12</v>
      </c>
    </row>
    <row r="13" spans="1:12" s="72" customFormat="1" ht="41.25" customHeight="1" x14ac:dyDescent="0.25">
      <c r="A13" s="177" t="s">
        <v>118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</row>
    <row r="14" spans="1:12" s="72" customFormat="1" ht="19.5" customHeight="1" x14ac:dyDescent="0.25">
      <c r="A14" s="177" t="s">
        <v>119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</row>
    <row r="15" spans="1:12" ht="63" x14ac:dyDescent="0.25">
      <c r="A15" s="174" t="s">
        <v>3</v>
      </c>
      <c r="B15" s="172" t="s">
        <v>139</v>
      </c>
      <c r="C15" s="148" t="s">
        <v>58</v>
      </c>
      <c r="D15" s="149">
        <v>247</v>
      </c>
      <c r="E15" s="149" t="s">
        <v>55</v>
      </c>
      <c r="F15" s="97" t="s">
        <v>141</v>
      </c>
      <c r="G15" s="154">
        <v>540</v>
      </c>
      <c r="H15" s="46">
        <v>26370.2</v>
      </c>
      <c r="I15" s="46">
        <v>27398.6</v>
      </c>
      <c r="J15" s="46">
        <v>28467.1</v>
      </c>
      <c r="K15" s="47">
        <f t="shared" ref="K15:K23" si="0">SUM(H15:J15)</f>
        <v>82235.899999999994</v>
      </c>
      <c r="L15" s="169" t="s">
        <v>99</v>
      </c>
    </row>
    <row r="16" spans="1:12" x14ac:dyDescent="0.25">
      <c r="A16" s="175"/>
      <c r="B16" s="173"/>
      <c r="C16" s="83" t="s">
        <v>163</v>
      </c>
      <c r="D16" s="83" t="s">
        <v>23</v>
      </c>
      <c r="E16" s="83" t="s">
        <v>23</v>
      </c>
      <c r="F16" s="83" t="s">
        <v>23</v>
      </c>
      <c r="G16" s="78" t="s">
        <v>23</v>
      </c>
      <c r="H16" s="84">
        <f t="shared" ref="H16" si="1">H15</f>
        <v>26370.2</v>
      </c>
      <c r="I16" s="84">
        <f t="shared" ref="I16:J16" si="2">I15</f>
        <v>27398.6</v>
      </c>
      <c r="J16" s="84">
        <f t="shared" si="2"/>
        <v>28467.1</v>
      </c>
      <c r="K16" s="84">
        <f t="shared" si="0"/>
        <v>82235.899999999994</v>
      </c>
      <c r="L16" s="170"/>
    </row>
    <row r="17" spans="1:14" ht="63" x14ac:dyDescent="0.25">
      <c r="A17" s="174" t="s">
        <v>70</v>
      </c>
      <c r="B17" s="172" t="s">
        <v>138</v>
      </c>
      <c r="C17" s="148" t="s">
        <v>58</v>
      </c>
      <c r="D17" s="149">
        <v>247</v>
      </c>
      <c r="E17" s="149" t="s">
        <v>55</v>
      </c>
      <c r="F17" s="97" t="s">
        <v>142</v>
      </c>
      <c r="G17" s="154">
        <v>540</v>
      </c>
      <c r="H17" s="46">
        <v>11636.1</v>
      </c>
      <c r="I17" s="46">
        <v>13994.7</v>
      </c>
      <c r="J17" s="46">
        <v>13994.7</v>
      </c>
      <c r="K17" s="47">
        <f t="shared" si="0"/>
        <v>39625.5</v>
      </c>
      <c r="L17" s="170"/>
    </row>
    <row r="18" spans="1:14" x14ac:dyDescent="0.25">
      <c r="A18" s="175"/>
      <c r="B18" s="173"/>
      <c r="C18" s="83" t="s">
        <v>163</v>
      </c>
      <c r="D18" s="83" t="s">
        <v>23</v>
      </c>
      <c r="E18" s="83" t="s">
        <v>23</v>
      </c>
      <c r="F18" s="83" t="s">
        <v>23</v>
      </c>
      <c r="G18" s="83" t="s">
        <v>23</v>
      </c>
      <c r="H18" s="84">
        <f t="shared" ref="H18" si="3">H17</f>
        <v>11636.1</v>
      </c>
      <c r="I18" s="84">
        <f t="shared" ref="I18:J18" si="4">I17</f>
        <v>13994.7</v>
      </c>
      <c r="J18" s="84">
        <f t="shared" si="4"/>
        <v>13994.7</v>
      </c>
      <c r="K18" s="84">
        <f t="shared" si="0"/>
        <v>39625.5</v>
      </c>
      <c r="L18" s="171"/>
    </row>
    <row r="19" spans="1:14" ht="47.25" customHeight="1" x14ac:dyDescent="0.25">
      <c r="A19" s="169" t="s">
        <v>72</v>
      </c>
      <c r="B19" s="172" t="s">
        <v>88</v>
      </c>
      <c r="C19" s="148" t="s">
        <v>80</v>
      </c>
      <c r="D19" s="149">
        <v>242</v>
      </c>
      <c r="E19" s="160" t="s">
        <v>55</v>
      </c>
      <c r="F19" s="180" t="s">
        <v>165</v>
      </c>
      <c r="G19" s="160">
        <v>244</v>
      </c>
      <c r="H19" s="46">
        <v>1650.83</v>
      </c>
      <c r="I19" s="46">
        <f>H19</f>
        <v>1650.83</v>
      </c>
      <c r="J19" s="46">
        <f>I19</f>
        <v>1650.83</v>
      </c>
      <c r="K19" s="47">
        <f t="shared" si="0"/>
        <v>4952.49</v>
      </c>
      <c r="L19" s="169" t="s">
        <v>99</v>
      </c>
    </row>
    <row r="20" spans="1:14" ht="63" x14ac:dyDescent="0.25">
      <c r="A20" s="170"/>
      <c r="B20" s="176"/>
      <c r="C20" s="148" t="s">
        <v>58</v>
      </c>
      <c r="D20" s="149">
        <v>247</v>
      </c>
      <c r="E20" s="160"/>
      <c r="F20" s="181"/>
      <c r="G20" s="160"/>
      <c r="H20" s="46">
        <v>4000</v>
      </c>
      <c r="I20" s="46">
        <f>H20</f>
        <v>4000</v>
      </c>
      <c r="J20" s="46">
        <f>I20</f>
        <v>4000</v>
      </c>
      <c r="K20" s="47">
        <f t="shared" si="0"/>
        <v>12000</v>
      </c>
      <c r="L20" s="170"/>
      <c r="N20" s="65"/>
    </row>
    <row r="21" spans="1:14" x14ac:dyDescent="0.25">
      <c r="A21" s="171"/>
      <c r="B21" s="173"/>
      <c r="C21" s="83" t="s">
        <v>163</v>
      </c>
      <c r="D21" s="83" t="s">
        <v>23</v>
      </c>
      <c r="E21" s="83" t="s">
        <v>23</v>
      </c>
      <c r="F21" s="83" t="s">
        <v>23</v>
      </c>
      <c r="G21" s="83" t="s">
        <v>23</v>
      </c>
      <c r="H21" s="84">
        <f t="shared" ref="H21" si="5">H19+H20</f>
        <v>5650.83</v>
      </c>
      <c r="I21" s="84">
        <f t="shared" ref="I21:J21" si="6">I19+I20</f>
        <v>5650.83</v>
      </c>
      <c r="J21" s="84">
        <f t="shared" si="6"/>
        <v>5650.83</v>
      </c>
      <c r="K21" s="84">
        <f t="shared" si="0"/>
        <v>16952.489999999998</v>
      </c>
      <c r="L21" s="171"/>
      <c r="N21" s="65"/>
    </row>
    <row r="22" spans="1:14" s="20" customFormat="1" ht="70.5" customHeight="1" x14ac:dyDescent="0.25">
      <c r="A22" s="169" t="s">
        <v>73</v>
      </c>
      <c r="B22" s="172" t="s">
        <v>89</v>
      </c>
      <c r="C22" s="148" t="s">
        <v>58</v>
      </c>
      <c r="D22" s="149">
        <v>247</v>
      </c>
      <c r="E22" s="149" t="s">
        <v>55</v>
      </c>
      <c r="F22" s="97" t="s">
        <v>166</v>
      </c>
      <c r="G22" s="154">
        <v>540</v>
      </c>
      <c r="H22" s="46">
        <v>2238.7550000000001</v>
      </c>
      <c r="I22" s="46">
        <v>2238.7550000000001</v>
      </c>
      <c r="J22" s="46">
        <v>2238.7550000000001</v>
      </c>
      <c r="K22" s="47">
        <f t="shared" si="0"/>
        <v>6716.2650000000003</v>
      </c>
      <c r="L22" s="169" t="s">
        <v>98</v>
      </c>
    </row>
    <row r="23" spans="1:14" s="20" customFormat="1" x14ac:dyDescent="0.25">
      <c r="A23" s="171"/>
      <c r="B23" s="173"/>
      <c r="C23" s="83" t="s">
        <v>163</v>
      </c>
      <c r="D23" s="83" t="s">
        <v>23</v>
      </c>
      <c r="E23" s="83" t="s">
        <v>23</v>
      </c>
      <c r="F23" s="83" t="s">
        <v>23</v>
      </c>
      <c r="G23" s="83" t="s">
        <v>23</v>
      </c>
      <c r="H23" s="84">
        <f t="shared" ref="H23" si="7">H22</f>
        <v>2238.7550000000001</v>
      </c>
      <c r="I23" s="84">
        <f t="shared" ref="I23:J23" si="8">I22</f>
        <v>2238.7550000000001</v>
      </c>
      <c r="J23" s="84">
        <f t="shared" si="8"/>
        <v>2238.7550000000001</v>
      </c>
      <c r="K23" s="84">
        <f t="shared" si="0"/>
        <v>6716.2650000000003</v>
      </c>
      <c r="L23" s="171"/>
    </row>
    <row r="24" spans="1:14" s="20" customFormat="1" ht="34.5" customHeight="1" x14ac:dyDescent="0.25">
      <c r="A24" s="169" t="s">
        <v>152</v>
      </c>
      <c r="B24" s="172" t="s">
        <v>171</v>
      </c>
      <c r="C24" s="169" t="s">
        <v>58</v>
      </c>
      <c r="D24" s="169">
        <v>247</v>
      </c>
      <c r="E24" s="169" t="s">
        <v>55</v>
      </c>
      <c r="F24" s="97" t="s">
        <v>172</v>
      </c>
      <c r="G24" s="169">
        <v>244</v>
      </c>
      <c r="H24" s="46">
        <v>19900</v>
      </c>
      <c r="I24" s="46"/>
      <c r="J24" s="46"/>
      <c r="K24" s="47">
        <f t="shared" ref="K24:K26" si="9">SUM(H24:J24)</f>
        <v>19900</v>
      </c>
      <c r="L24" s="169" t="s">
        <v>99</v>
      </c>
    </row>
    <row r="25" spans="1:14" s="20" customFormat="1" ht="34.5" customHeight="1" x14ac:dyDescent="0.25">
      <c r="A25" s="170"/>
      <c r="B25" s="176"/>
      <c r="C25" s="171"/>
      <c r="D25" s="171"/>
      <c r="E25" s="171"/>
      <c r="F25" s="97" t="s">
        <v>173</v>
      </c>
      <c r="G25" s="171"/>
      <c r="H25" s="46">
        <v>39.799999999999997</v>
      </c>
      <c r="I25" s="46"/>
      <c r="J25" s="46"/>
      <c r="K25" s="47">
        <f t="shared" si="9"/>
        <v>39.799999999999997</v>
      </c>
      <c r="L25" s="170"/>
    </row>
    <row r="26" spans="1:14" s="20" customFormat="1" x14ac:dyDescent="0.25">
      <c r="A26" s="171"/>
      <c r="B26" s="173"/>
      <c r="C26" s="83" t="s">
        <v>163</v>
      </c>
      <c r="D26" s="83" t="s">
        <v>23</v>
      </c>
      <c r="E26" s="83" t="s">
        <v>23</v>
      </c>
      <c r="F26" s="83" t="s">
        <v>23</v>
      </c>
      <c r="G26" s="83" t="s">
        <v>23</v>
      </c>
      <c r="H26" s="84">
        <f>SUM(H24:H25)</f>
        <v>19939.8</v>
      </c>
      <c r="I26" s="84">
        <f t="shared" ref="I26:J26" si="10">SUM(I24:I25)</f>
        <v>0</v>
      </c>
      <c r="J26" s="84">
        <f t="shared" si="10"/>
        <v>0</v>
      </c>
      <c r="K26" s="84">
        <f t="shared" si="9"/>
        <v>19939.8</v>
      </c>
      <c r="L26" s="171"/>
    </row>
    <row r="27" spans="1:14" s="20" customFormat="1" ht="71.25" customHeight="1" x14ac:dyDescent="0.25">
      <c r="A27" s="169" t="s">
        <v>162</v>
      </c>
      <c r="B27" s="172" t="s">
        <v>170</v>
      </c>
      <c r="C27" s="148" t="s">
        <v>58</v>
      </c>
      <c r="D27" s="149">
        <v>247</v>
      </c>
      <c r="E27" s="149" t="s">
        <v>55</v>
      </c>
      <c r="F27" s="97" t="s">
        <v>167</v>
      </c>
      <c r="G27" s="154">
        <v>244</v>
      </c>
      <c r="H27" s="46">
        <v>12450</v>
      </c>
      <c r="I27" s="46"/>
      <c r="J27" s="46"/>
      <c r="K27" s="47">
        <f t="shared" ref="K27:K28" si="11">SUM(H27:J27)</f>
        <v>12450</v>
      </c>
      <c r="L27" s="169" t="s">
        <v>164</v>
      </c>
    </row>
    <row r="28" spans="1:14" s="20" customFormat="1" x14ac:dyDescent="0.25">
      <c r="A28" s="171"/>
      <c r="B28" s="173"/>
      <c r="C28" s="83" t="s">
        <v>163</v>
      </c>
      <c r="D28" s="83" t="s">
        <v>23</v>
      </c>
      <c r="E28" s="83" t="s">
        <v>23</v>
      </c>
      <c r="F28" s="83" t="s">
        <v>23</v>
      </c>
      <c r="G28" s="83" t="s">
        <v>23</v>
      </c>
      <c r="H28" s="84">
        <f t="shared" ref="H28:J28" si="12">H27</f>
        <v>12450</v>
      </c>
      <c r="I28" s="84">
        <f t="shared" si="12"/>
        <v>0</v>
      </c>
      <c r="J28" s="84">
        <f t="shared" si="12"/>
        <v>0</v>
      </c>
      <c r="K28" s="84">
        <f t="shared" si="11"/>
        <v>12450</v>
      </c>
      <c r="L28" s="171"/>
    </row>
    <row r="29" spans="1:14" s="20" customFormat="1" ht="90" hidden="1" customHeight="1" outlineLevel="1" x14ac:dyDescent="0.25">
      <c r="A29" s="169" t="s">
        <v>169</v>
      </c>
      <c r="B29" s="172" t="s">
        <v>168</v>
      </c>
      <c r="C29" s="144" t="s">
        <v>58</v>
      </c>
      <c r="D29" s="145">
        <v>247</v>
      </c>
      <c r="E29" s="145" t="s">
        <v>55</v>
      </c>
      <c r="F29" s="147"/>
      <c r="G29" s="145">
        <v>244</v>
      </c>
      <c r="H29" s="46"/>
      <c r="I29" s="46"/>
      <c r="J29" s="46"/>
      <c r="K29" s="47">
        <f t="shared" ref="K29:K30" si="13">SUM(H29:J29)</f>
        <v>0</v>
      </c>
      <c r="L29" s="146"/>
    </row>
    <row r="30" spans="1:14" s="20" customFormat="1" hidden="1" outlineLevel="1" x14ac:dyDescent="0.25">
      <c r="A30" s="171"/>
      <c r="B30" s="173"/>
      <c r="C30" s="83" t="s">
        <v>163</v>
      </c>
      <c r="D30" s="83" t="s">
        <v>23</v>
      </c>
      <c r="E30" s="83" t="s">
        <v>23</v>
      </c>
      <c r="F30" s="83" t="s">
        <v>23</v>
      </c>
      <c r="G30" s="83" t="s">
        <v>23</v>
      </c>
      <c r="H30" s="84">
        <f t="shared" ref="H30:J30" si="14">H29</f>
        <v>0</v>
      </c>
      <c r="I30" s="84">
        <f t="shared" si="14"/>
        <v>0</v>
      </c>
      <c r="J30" s="84">
        <f t="shared" si="14"/>
        <v>0</v>
      </c>
      <c r="K30" s="84">
        <f t="shared" si="13"/>
        <v>0</v>
      </c>
      <c r="L30" s="146"/>
    </row>
    <row r="31" spans="1:14" s="73" customFormat="1" collapsed="1" x14ac:dyDescent="0.25">
      <c r="A31" s="79"/>
      <c r="B31" s="80" t="s">
        <v>95</v>
      </c>
      <c r="C31" s="79" t="s">
        <v>23</v>
      </c>
      <c r="D31" s="79" t="s">
        <v>23</v>
      </c>
      <c r="E31" s="79" t="s">
        <v>23</v>
      </c>
      <c r="F31" s="79" t="s">
        <v>23</v>
      </c>
      <c r="G31" s="79" t="s">
        <v>23</v>
      </c>
      <c r="H31" s="81">
        <f>H16+H18+H21+H23+H26+H28+H30</f>
        <v>78285.684999999998</v>
      </c>
      <c r="I31" s="81">
        <f>I16+I18+I21+I23+I26+I28+I30</f>
        <v>49282.885000000002</v>
      </c>
      <c r="J31" s="81">
        <f>J16+J18+J21+J23+J26+J28+J30</f>
        <v>50351.385000000002</v>
      </c>
      <c r="K31" s="81">
        <f>K16+K18+K21+K23+K26+K28+K30</f>
        <v>177919.95499999999</v>
      </c>
      <c r="L31" s="79" t="s">
        <v>23</v>
      </c>
    </row>
    <row r="32" spans="1:14" s="20" customFormat="1" x14ac:dyDescent="0.25">
      <c r="A32" s="21"/>
    </row>
    <row r="36" spans="8:11" x14ac:dyDescent="0.25">
      <c r="H36" s="37"/>
      <c r="I36" s="37"/>
      <c r="J36" s="37"/>
      <c r="K36" s="37"/>
    </row>
    <row r="37" spans="8:11" x14ac:dyDescent="0.25">
      <c r="H37" s="37"/>
      <c r="I37" s="37"/>
      <c r="J37" s="37"/>
      <c r="K37" s="37"/>
    </row>
    <row r="38" spans="8:11" x14ac:dyDescent="0.25">
      <c r="H38" s="37"/>
      <c r="I38" s="37"/>
      <c r="J38" s="37"/>
      <c r="K38" s="37"/>
    </row>
    <row r="39" spans="8:11" x14ac:dyDescent="0.25">
      <c r="H39" s="37"/>
      <c r="I39" s="37"/>
      <c r="J39" s="37"/>
      <c r="K39" s="37"/>
    </row>
    <row r="40" spans="8:11" x14ac:dyDescent="0.25">
      <c r="H40" s="74"/>
      <c r="I40" s="74"/>
      <c r="J40" s="74"/>
      <c r="K40" s="74"/>
    </row>
    <row r="41" spans="8:11" x14ac:dyDescent="0.25">
      <c r="H41" s="37"/>
      <c r="I41" s="37"/>
      <c r="J41" s="37"/>
      <c r="K41" s="37"/>
    </row>
    <row r="42" spans="8:11" x14ac:dyDescent="0.25">
      <c r="H42" s="37"/>
      <c r="I42" s="37"/>
      <c r="J42" s="37"/>
      <c r="K42" s="37"/>
    </row>
    <row r="43" spans="8:11" x14ac:dyDescent="0.25">
      <c r="H43" s="37"/>
      <c r="I43" s="37"/>
      <c r="J43" s="37"/>
      <c r="K43" s="37"/>
    </row>
  </sheetData>
  <mergeCells count="38">
    <mergeCell ref="C24:C25"/>
    <mergeCell ref="D24:D25"/>
    <mergeCell ref="E24:E25"/>
    <mergeCell ref="G24:G25"/>
    <mergeCell ref="A29:A30"/>
    <mergeCell ref="B29:B30"/>
    <mergeCell ref="A27:A28"/>
    <mergeCell ref="B27:B28"/>
    <mergeCell ref="L27:L28"/>
    <mergeCell ref="A24:A26"/>
    <mergeCell ref="B24:B26"/>
    <mergeCell ref="L24:L26"/>
    <mergeCell ref="K1:L1"/>
    <mergeCell ref="K4:L4"/>
    <mergeCell ref="G19:G20"/>
    <mergeCell ref="E19:E20"/>
    <mergeCell ref="F19:F20"/>
    <mergeCell ref="A7:L7"/>
    <mergeCell ref="A8:L8"/>
    <mergeCell ref="A10:A11"/>
    <mergeCell ref="B10:B11"/>
    <mergeCell ref="C10:C11"/>
    <mergeCell ref="D10:G10"/>
    <mergeCell ref="H10:K10"/>
    <mergeCell ref="L10:L11"/>
    <mergeCell ref="A14:L14"/>
    <mergeCell ref="A13:L13"/>
    <mergeCell ref="B15:B16"/>
    <mergeCell ref="A15:A16"/>
    <mergeCell ref="L15:L18"/>
    <mergeCell ref="L19:L21"/>
    <mergeCell ref="L22:L23"/>
    <mergeCell ref="B17:B18"/>
    <mergeCell ref="A17:A18"/>
    <mergeCell ref="B19:B21"/>
    <mergeCell ref="A19:A21"/>
    <mergeCell ref="B22:B23"/>
    <mergeCell ref="A22:A23"/>
  </mergeCells>
  <pageMargins left="0.78740157480314965" right="0.78740157480314965" top="1.1811023622047245" bottom="0.39370078740157483" header="0.31496062992125984" footer="0.31496062992125984"/>
  <pageSetup paperSize="9" scale="59" fitToHeight="0" orientation="landscape" r:id="rId1"/>
  <rowBreaks count="1" manualBreakCount="1">
    <brk id="2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0"/>
  <sheetViews>
    <sheetView view="pageBreakPreview" zoomScale="85" zoomScaleNormal="70" zoomScaleSheetLayoutView="85" workbookViewId="0">
      <selection activeCell="B4" sqref="B2:B4"/>
    </sheetView>
  </sheetViews>
  <sheetFormatPr defaultRowHeight="15.75" outlineLevelRow="1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3.125" style="1" customWidth="1"/>
    <col min="9" max="16384" width="9" style="1"/>
  </cols>
  <sheetData>
    <row r="1" spans="1:8" ht="75.75" customHeight="1" outlineLevel="1" x14ac:dyDescent="0.25">
      <c r="F1" s="161" t="s">
        <v>176</v>
      </c>
      <c r="G1" s="161"/>
      <c r="H1" s="161"/>
    </row>
    <row r="2" spans="1:8" outlineLevel="1" x14ac:dyDescent="0.25"/>
    <row r="3" spans="1:8" outlineLevel="1" x14ac:dyDescent="0.25"/>
    <row r="4" spans="1:8" ht="92.25" customHeight="1" x14ac:dyDescent="0.25">
      <c r="F4" s="162" t="s">
        <v>127</v>
      </c>
      <c r="G4" s="162"/>
      <c r="H4" s="162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165" t="s">
        <v>1</v>
      </c>
      <c r="B7" s="165"/>
      <c r="C7" s="165"/>
      <c r="D7" s="165"/>
      <c r="E7" s="165"/>
      <c r="F7" s="165"/>
      <c r="G7" s="165"/>
      <c r="H7" s="165"/>
    </row>
    <row r="8" spans="1:8" ht="48" customHeight="1" x14ac:dyDescent="0.25">
      <c r="A8" s="168" t="s">
        <v>63</v>
      </c>
      <c r="B8" s="165"/>
      <c r="C8" s="165"/>
      <c r="D8" s="165"/>
      <c r="E8" s="165"/>
      <c r="F8" s="165"/>
      <c r="G8" s="165"/>
      <c r="H8" s="165"/>
    </row>
    <row r="9" spans="1:8" ht="18.75" x14ac:dyDescent="0.25">
      <c r="A9" s="10"/>
    </row>
    <row r="10" spans="1:8" x14ac:dyDescent="0.25">
      <c r="A10" s="155" t="s">
        <v>12</v>
      </c>
      <c r="B10" s="155" t="s">
        <v>39</v>
      </c>
      <c r="C10" s="155" t="s">
        <v>2</v>
      </c>
      <c r="D10" s="155" t="s">
        <v>40</v>
      </c>
      <c r="E10" s="155" t="s">
        <v>41</v>
      </c>
      <c r="F10" s="155"/>
      <c r="G10" s="155"/>
      <c r="H10" s="155"/>
    </row>
    <row r="11" spans="1:8" x14ac:dyDescent="0.25">
      <c r="A11" s="155"/>
      <c r="B11" s="155"/>
      <c r="C11" s="155"/>
      <c r="D11" s="155"/>
      <c r="E11" s="100" t="e">
        <f>#REF!</f>
        <v>#REF!</v>
      </c>
      <c r="F11" s="122" t="e">
        <f>#REF!</f>
        <v>#REF!</v>
      </c>
      <c r="G11" s="122" t="e">
        <f>#REF!</f>
        <v>#REF!</v>
      </c>
      <c r="H11" s="122" t="e">
        <f>#REF!</f>
        <v>#REF!</v>
      </c>
    </row>
    <row r="12" spans="1:8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</row>
    <row r="13" spans="1:8" x14ac:dyDescent="0.25">
      <c r="A13" s="183" t="e">
        <f>#REF!</f>
        <v>#REF!</v>
      </c>
      <c r="B13" s="184"/>
      <c r="C13" s="184"/>
      <c r="D13" s="184"/>
      <c r="E13" s="184"/>
      <c r="F13" s="184"/>
      <c r="G13" s="184"/>
      <c r="H13" s="185"/>
    </row>
    <row r="14" spans="1:8" ht="33" customHeight="1" x14ac:dyDescent="0.25">
      <c r="A14" s="183" t="e">
        <f>#REF!</f>
        <v>#REF!</v>
      </c>
      <c r="B14" s="184"/>
      <c r="C14" s="184"/>
      <c r="D14" s="184"/>
      <c r="E14" s="184"/>
      <c r="F14" s="184"/>
      <c r="G14" s="184"/>
      <c r="H14" s="185"/>
    </row>
    <row r="15" spans="1:8" ht="72" customHeight="1" x14ac:dyDescent="0.25">
      <c r="A15" s="11" t="s">
        <v>3</v>
      </c>
      <c r="B15" s="9" t="s">
        <v>102</v>
      </c>
      <c r="C15" s="11" t="s">
        <v>64</v>
      </c>
      <c r="D15" s="11" t="s">
        <v>65</v>
      </c>
      <c r="E15" s="134">
        <v>7.3940000000000001</v>
      </c>
      <c r="F15" s="134">
        <f>E15</f>
        <v>7.3940000000000001</v>
      </c>
      <c r="G15" s="134">
        <f t="shared" ref="G15:H15" si="0">F15</f>
        <v>7.3940000000000001</v>
      </c>
      <c r="H15" s="134">
        <f t="shared" si="0"/>
        <v>7.3940000000000001</v>
      </c>
    </row>
    <row r="16" spans="1:8" ht="72" customHeight="1" x14ac:dyDescent="0.25">
      <c r="A16" s="11" t="s">
        <v>70</v>
      </c>
      <c r="B16" s="9" t="s">
        <v>103</v>
      </c>
      <c r="C16" s="11" t="s">
        <v>66</v>
      </c>
      <c r="D16" s="11" t="s">
        <v>65</v>
      </c>
      <c r="E16" s="134">
        <v>169.31800000000001</v>
      </c>
      <c r="F16" s="134">
        <f>E16</f>
        <v>169.31800000000001</v>
      </c>
      <c r="G16" s="134">
        <f t="shared" ref="G16:H16" si="1">F16</f>
        <v>169.31800000000001</v>
      </c>
      <c r="H16" s="134">
        <f t="shared" si="1"/>
        <v>169.31800000000001</v>
      </c>
    </row>
    <row r="17" spans="1:5" ht="18.75" x14ac:dyDescent="0.25">
      <c r="A17" s="10"/>
    </row>
    <row r="20" spans="1:5" x14ac:dyDescent="0.25">
      <c r="E20" s="27"/>
    </row>
  </sheetData>
  <mergeCells count="11">
    <mergeCell ref="F1:H1"/>
    <mergeCell ref="A13:H13"/>
    <mergeCell ref="A14:H14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0"/>
  <sheetViews>
    <sheetView zoomScale="85" zoomScaleNormal="85" workbookViewId="0">
      <selection activeCell="D4" sqref="D4"/>
    </sheetView>
  </sheetViews>
  <sheetFormatPr defaultRowHeight="15.75" outlineLevelRow="1" x14ac:dyDescent="0.25"/>
  <cols>
    <col min="1" max="1" width="5.375" style="4" customWidth="1"/>
    <col min="2" max="2" width="42.125" style="1" customWidth="1"/>
    <col min="3" max="3" width="11.5" style="4" customWidth="1"/>
    <col min="4" max="4" width="14.875" style="1" customWidth="1"/>
    <col min="5" max="5" width="12.875" style="1" customWidth="1"/>
    <col min="6" max="8" width="14.625" style="1" customWidth="1"/>
    <col min="9" max="16384" width="9" style="1"/>
  </cols>
  <sheetData>
    <row r="1" spans="1:8" ht="78.75" customHeight="1" outlineLevel="1" x14ac:dyDescent="0.25">
      <c r="F1" s="161" t="s">
        <v>177</v>
      </c>
      <c r="G1" s="161"/>
      <c r="H1" s="161"/>
    </row>
    <row r="2" spans="1:8" outlineLevel="1" x14ac:dyDescent="0.25"/>
    <row r="3" spans="1:8" outlineLevel="1" x14ac:dyDescent="0.25"/>
    <row r="4" spans="1:8" ht="78.75" customHeight="1" x14ac:dyDescent="0.25">
      <c r="F4" s="162" t="s">
        <v>128</v>
      </c>
      <c r="G4" s="162"/>
      <c r="H4" s="162"/>
    </row>
    <row r="5" spans="1:8" ht="18.75" x14ac:dyDescent="0.25">
      <c r="A5" s="10"/>
    </row>
    <row r="6" spans="1:8" ht="18.75" x14ac:dyDescent="0.25">
      <c r="A6" s="10"/>
    </row>
    <row r="7" spans="1:8" ht="18.75" x14ac:dyDescent="0.25">
      <c r="A7" s="165" t="s">
        <v>1</v>
      </c>
      <c r="B7" s="165"/>
      <c r="C7" s="165"/>
      <c r="D7" s="165"/>
      <c r="E7" s="165"/>
      <c r="F7" s="165"/>
      <c r="G7" s="165"/>
      <c r="H7" s="165"/>
    </row>
    <row r="8" spans="1:8" ht="48" customHeight="1" x14ac:dyDescent="0.25">
      <c r="A8" s="168" t="s">
        <v>67</v>
      </c>
      <c r="B8" s="165"/>
      <c r="C8" s="165"/>
      <c r="D8" s="165"/>
      <c r="E8" s="165"/>
      <c r="F8" s="165"/>
      <c r="G8" s="165"/>
      <c r="H8" s="165"/>
    </row>
    <row r="9" spans="1:8" ht="18.75" x14ac:dyDescent="0.25">
      <c r="A9" s="10"/>
    </row>
    <row r="10" spans="1:8" x14ac:dyDescent="0.25">
      <c r="A10" s="155" t="s">
        <v>12</v>
      </c>
      <c r="B10" s="155" t="s">
        <v>39</v>
      </c>
      <c r="C10" s="155" t="s">
        <v>2</v>
      </c>
      <c r="D10" s="155" t="s">
        <v>40</v>
      </c>
      <c r="E10" s="155" t="s">
        <v>41</v>
      </c>
      <c r="F10" s="155"/>
      <c r="G10" s="155"/>
      <c r="H10" s="155"/>
    </row>
    <row r="11" spans="1:8" x14ac:dyDescent="0.25">
      <c r="A11" s="155"/>
      <c r="B11" s="155"/>
      <c r="C11" s="155"/>
      <c r="D11" s="155"/>
      <c r="E11" s="122" t="e">
        <f>#REF!</f>
        <v>#REF!</v>
      </c>
      <c r="F11" s="122" t="e">
        <f>#REF!</f>
        <v>#REF!</v>
      </c>
      <c r="G11" s="122" t="e">
        <f>#REF!</f>
        <v>#REF!</v>
      </c>
      <c r="H11" s="122" t="e">
        <f>#REF!</f>
        <v>#REF!</v>
      </c>
    </row>
    <row r="12" spans="1:8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</row>
    <row r="13" spans="1:8" x14ac:dyDescent="0.25">
      <c r="A13" s="167" t="str">
        <f>'пр к ПП3'!A13:L13</f>
        <v>Цель. Снижение числа лиц, погибших в результате ДТП, и количества ДТП с пострадавшими.</v>
      </c>
      <c r="B13" s="167"/>
      <c r="C13" s="167"/>
      <c r="D13" s="167"/>
      <c r="E13" s="167"/>
      <c r="F13" s="167"/>
      <c r="G13" s="167"/>
      <c r="H13" s="167"/>
    </row>
    <row r="14" spans="1:8" ht="41.25" customHeight="1" x14ac:dyDescent="0.25">
      <c r="A14" s="167" t="str">
        <f>'пр к ПП3'!A14:L14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167"/>
      <c r="C14" s="167"/>
      <c r="D14" s="167"/>
      <c r="E14" s="167"/>
      <c r="F14" s="167"/>
      <c r="G14" s="167"/>
      <c r="H14" s="167"/>
    </row>
    <row r="15" spans="1:8" s="42" customFormat="1" ht="63" x14ac:dyDescent="0.25">
      <c r="A15" s="40" t="s">
        <v>3</v>
      </c>
      <c r="B15" s="17" t="s">
        <v>105</v>
      </c>
      <c r="C15" s="40" t="s">
        <v>107</v>
      </c>
      <c r="D15" s="141" t="s">
        <v>111</v>
      </c>
      <c r="E15" s="142">
        <v>18.969332911792602</v>
      </c>
      <c r="F15" s="142">
        <f t="shared" ref="F15:H15" si="0">F16/F17*100000</f>
        <v>6.4354205547332519</v>
      </c>
      <c r="G15" s="142">
        <f t="shared" si="0"/>
        <v>6.5509335080248929</v>
      </c>
      <c r="H15" s="142">
        <f t="shared" si="0"/>
        <v>6.6653335999466776</v>
      </c>
    </row>
    <row r="16" spans="1:8" s="106" customFormat="1" ht="31.5" hidden="1" outlineLevel="1" x14ac:dyDescent="0.25">
      <c r="A16" s="32"/>
      <c r="B16" s="31" t="s">
        <v>68</v>
      </c>
      <c r="C16" s="32"/>
      <c r="D16" s="32"/>
      <c r="E16" s="143">
        <f>'пр к пасп'!I26</f>
        <v>3</v>
      </c>
      <c r="F16" s="143">
        <f>'пр к пасп'!J26</f>
        <v>1</v>
      </c>
      <c r="G16" s="143">
        <f>'пр к пасп'!K26</f>
        <v>1</v>
      </c>
      <c r="H16" s="143">
        <f>'пр к пасп'!L26</f>
        <v>1</v>
      </c>
    </row>
    <row r="17" spans="1:8" s="106" customFormat="1" hidden="1" outlineLevel="1" x14ac:dyDescent="0.25">
      <c r="A17" s="32"/>
      <c r="B17" s="31" t="s">
        <v>97</v>
      </c>
      <c r="C17" s="32"/>
      <c r="D17" s="32"/>
      <c r="E17" s="143">
        <f>'пр к пасп'!I24</f>
        <v>15825</v>
      </c>
      <c r="F17" s="143">
        <f>'пр к пасп'!J24</f>
        <v>15539</v>
      </c>
      <c r="G17" s="143">
        <f>'пр к пасп'!K24</f>
        <v>15265</v>
      </c>
      <c r="H17" s="143">
        <f>'пр к пасп'!L24</f>
        <v>15003</v>
      </c>
    </row>
    <row r="18" spans="1:8" s="106" customFormat="1" hidden="1" outlineLevel="1" x14ac:dyDescent="0.25">
      <c r="A18" s="32"/>
      <c r="B18" s="31" t="s">
        <v>149</v>
      </c>
      <c r="C18" s="32"/>
      <c r="D18" s="32"/>
      <c r="E18" s="143">
        <v>3979</v>
      </c>
      <c r="F18" s="143">
        <f>ROUND(F17/E17*E18,0)</f>
        <v>3907</v>
      </c>
      <c r="G18" s="143">
        <f t="shared" ref="G18:H18" si="1">ROUND(G17/F17*F18,0)</f>
        <v>3838</v>
      </c>
      <c r="H18" s="143">
        <f t="shared" si="1"/>
        <v>3772</v>
      </c>
    </row>
    <row r="19" spans="1:8" s="41" customFormat="1" ht="63" collapsed="1" x14ac:dyDescent="0.25">
      <c r="A19" s="14" t="s">
        <v>70</v>
      </c>
      <c r="B19" s="39" t="s">
        <v>106</v>
      </c>
      <c r="C19" s="38" t="s">
        <v>108</v>
      </c>
      <c r="D19" s="140" t="s">
        <v>111</v>
      </c>
      <c r="E19" s="142">
        <v>8.1081081081081088</v>
      </c>
      <c r="F19" s="142">
        <f t="shared" ref="F19:H19" si="2">F16/F18*10000</f>
        <v>2.5595085743537238</v>
      </c>
      <c r="G19" s="142">
        <f t="shared" si="2"/>
        <v>2.6055237102657633</v>
      </c>
      <c r="H19" s="142">
        <f t="shared" si="2"/>
        <v>2.6511134676564159</v>
      </c>
    </row>
    <row r="20" spans="1:8" s="41" customFormat="1" ht="31.5" x14ac:dyDescent="0.25">
      <c r="A20" s="38" t="s">
        <v>72</v>
      </c>
      <c r="B20" s="39" t="s">
        <v>109</v>
      </c>
      <c r="C20" s="38" t="s">
        <v>110</v>
      </c>
      <c r="D20" s="140" t="s">
        <v>111</v>
      </c>
      <c r="E20" s="142">
        <v>1</v>
      </c>
      <c r="F20" s="142">
        <v>0</v>
      </c>
      <c r="G20" s="142">
        <v>0</v>
      </c>
      <c r="H20" s="142">
        <v>0</v>
      </c>
    </row>
  </sheetData>
  <mergeCells count="11">
    <mergeCell ref="F1:H1"/>
    <mergeCell ref="A13:H13"/>
    <mergeCell ref="A14:H14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39370078740157483" header="0.31496062992125984" footer="0.31496062992125984"/>
  <pageSetup paperSize="9" scale="92" fitToHeight="0" orientation="landscape" horizontalDpi="0" verticalDpi="0" r:id="rId1"/>
  <rowBreaks count="1" manualBreakCount="1">
    <brk id="16" max="16383" man="1"/>
  </rowBreaks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6"/>
  <sheetViews>
    <sheetView view="pageBreakPreview" topLeftCell="C1" zoomScale="85" zoomScaleNormal="85" zoomScaleSheetLayoutView="85" workbookViewId="0">
      <selection activeCell="D4" sqref="D4"/>
    </sheetView>
  </sheetViews>
  <sheetFormatPr defaultRowHeight="18.75" outlineLevelRow="2" x14ac:dyDescent="0.25"/>
  <cols>
    <col min="1" max="1" width="4.75" style="125" customWidth="1"/>
    <col min="2" max="2" width="38.625" style="18" customWidth="1"/>
    <col min="3" max="3" width="23.5" style="18" customWidth="1"/>
    <col min="4" max="4" width="6.125" style="18" customWidth="1"/>
    <col min="5" max="5" width="6.875" style="18" customWidth="1"/>
    <col min="6" max="6" width="12" style="18" customWidth="1"/>
    <col min="7" max="7" width="5.75" style="18" customWidth="1"/>
    <col min="8" max="10" width="9.625" style="18" customWidth="1"/>
    <col min="11" max="11" width="17" style="18" customWidth="1"/>
    <col min="12" max="12" width="24.5" style="18" customWidth="1"/>
    <col min="13" max="16384" width="9" style="18"/>
  </cols>
  <sheetData>
    <row r="1" spans="1:12" ht="84" customHeight="1" outlineLevel="1" x14ac:dyDescent="0.3">
      <c r="K1" s="178" t="s">
        <v>178</v>
      </c>
      <c r="L1" s="178"/>
    </row>
    <row r="2" spans="1:12" outlineLevel="1" x14ac:dyDescent="0.25"/>
    <row r="3" spans="1:12" outlineLevel="1" x14ac:dyDescent="0.25"/>
    <row r="4" spans="1:12" ht="88.5" customHeight="1" x14ac:dyDescent="0.25">
      <c r="K4" s="179" t="s">
        <v>129</v>
      </c>
      <c r="L4" s="179"/>
    </row>
    <row r="7" spans="1:12" x14ac:dyDescent="0.25">
      <c r="A7" s="182" t="s">
        <v>1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</row>
    <row r="8" spans="1:12" x14ac:dyDescent="0.25">
      <c r="A8" s="182" t="s">
        <v>60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</row>
    <row r="10" spans="1:12" s="22" customFormat="1" ht="15.75" x14ac:dyDescent="0.25">
      <c r="A10" s="160" t="s">
        <v>12</v>
      </c>
      <c r="B10" s="160" t="s">
        <v>42</v>
      </c>
      <c r="C10" s="160" t="s">
        <v>18</v>
      </c>
      <c r="D10" s="160" t="s">
        <v>16</v>
      </c>
      <c r="E10" s="160"/>
      <c r="F10" s="160"/>
      <c r="G10" s="160"/>
      <c r="H10" s="160" t="s">
        <v>43</v>
      </c>
      <c r="I10" s="160"/>
      <c r="J10" s="160"/>
      <c r="K10" s="160"/>
      <c r="L10" s="160" t="s">
        <v>44</v>
      </c>
    </row>
    <row r="11" spans="1:12" s="22" customFormat="1" ht="93" customHeight="1" x14ac:dyDescent="0.25">
      <c r="A11" s="160"/>
      <c r="B11" s="160"/>
      <c r="C11" s="160"/>
      <c r="D11" s="124" t="s">
        <v>18</v>
      </c>
      <c r="E11" s="124" t="s">
        <v>19</v>
      </c>
      <c r="F11" s="124" t="s">
        <v>20</v>
      </c>
      <c r="G11" s="124" t="s">
        <v>21</v>
      </c>
      <c r="H11" s="129" t="str">
        <f>'пр 7 к МП'!J$16</f>
        <v>2019 год</v>
      </c>
      <c r="I11" s="129" t="str">
        <f>'пр 7 к МП'!K$16</f>
        <v>2020 год</v>
      </c>
      <c r="J11" s="129" t="str">
        <f>'пр 7 к МП'!L$16</f>
        <v>2021 год</v>
      </c>
      <c r="K11" s="124" t="s">
        <v>45</v>
      </c>
      <c r="L11" s="160"/>
    </row>
    <row r="12" spans="1:12" s="22" customFormat="1" ht="15.75" x14ac:dyDescent="0.25">
      <c r="A12" s="124">
        <v>1</v>
      </c>
      <c r="B12" s="124">
        <v>2</v>
      </c>
      <c r="C12" s="124">
        <v>3</v>
      </c>
      <c r="D12" s="124">
        <v>4</v>
      </c>
      <c r="E12" s="124">
        <v>5</v>
      </c>
      <c r="F12" s="124">
        <v>6</v>
      </c>
      <c r="G12" s="124">
        <v>7</v>
      </c>
      <c r="H12" s="124">
        <v>8</v>
      </c>
      <c r="I12" s="124">
        <v>9</v>
      </c>
      <c r="J12" s="124">
        <v>10</v>
      </c>
      <c r="K12" s="124">
        <v>11</v>
      </c>
      <c r="L12" s="124">
        <v>12</v>
      </c>
    </row>
    <row r="13" spans="1:12" s="23" customFormat="1" ht="18.75" customHeight="1" x14ac:dyDescent="0.25">
      <c r="A13" s="189" t="s">
        <v>120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</row>
    <row r="14" spans="1:12" s="23" customFormat="1" ht="15.75" x14ac:dyDescent="0.25">
      <c r="A14" s="189" t="s">
        <v>121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</row>
    <row r="15" spans="1:12" s="24" customFormat="1" ht="32.25" hidden="1" customHeight="1" outlineLevel="2" x14ac:dyDescent="0.25">
      <c r="A15" s="160" t="s">
        <v>3</v>
      </c>
      <c r="B15" s="186" t="s">
        <v>150</v>
      </c>
      <c r="C15" s="186" t="s">
        <v>137</v>
      </c>
      <c r="D15" s="187">
        <v>243</v>
      </c>
      <c r="E15" s="188" t="s">
        <v>135</v>
      </c>
      <c r="F15" s="128" t="s">
        <v>134</v>
      </c>
      <c r="G15" s="187">
        <v>244</v>
      </c>
      <c r="H15" s="107">
        <v>0</v>
      </c>
      <c r="I15" s="107">
        <v>0</v>
      </c>
      <c r="J15" s="107">
        <v>0</v>
      </c>
      <c r="K15" s="107">
        <f>SUM(H15:J15)</f>
        <v>0</v>
      </c>
      <c r="L15" s="160"/>
    </row>
    <row r="16" spans="1:12" s="24" customFormat="1" ht="32.25" hidden="1" customHeight="1" outlineLevel="2" x14ac:dyDescent="0.25">
      <c r="A16" s="160"/>
      <c r="B16" s="186"/>
      <c r="C16" s="186"/>
      <c r="D16" s="187"/>
      <c r="E16" s="188"/>
      <c r="F16" s="128" t="s">
        <v>136</v>
      </c>
      <c r="G16" s="187"/>
      <c r="H16" s="107">
        <v>0</v>
      </c>
      <c r="I16" s="107">
        <v>0</v>
      </c>
      <c r="J16" s="107">
        <v>0</v>
      </c>
      <c r="K16" s="107">
        <f>SUM(H16:J16)</f>
        <v>0</v>
      </c>
      <c r="L16" s="160"/>
    </row>
    <row r="17" spans="1:12" s="24" customFormat="1" ht="15.75" hidden="1" outlineLevel="2" x14ac:dyDescent="0.25">
      <c r="A17" s="160"/>
      <c r="B17" s="186"/>
      <c r="C17" s="109" t="s">
        <v>143</v>
      </c>
      <c r="D17" s="83" t="s">
        <v>23</v>
      </c>
      <c r="E17" s="83" t="s">
        <v>23</v>
      </c>
      <c r="F17" s="83" t="s">
        <v>23</v>
      </c>
      <c r="G17" s="83" t="s">
        <v>23</v>
      </c>
      <c r="H17" s="112">
        <f>H15+H16</f>
        <v>0</v>
      </c>
      <c r="I17" s="112">
        <f t="shared" ref="I17:J17" si="0">I15+I16</f>
        <v>0</v>
      </c>
      <c r="J17" s="112">
        <f t="shared" si="0"/>
        <v>0</v>
      </c>
      <c r="K17" s="112">
        <f t="shared" ref="K17" si="1">SUM(H17:J17)</f>
        <v>0</v>
      </c>
      <c r="L17" s="160"/>
    </row>
    <row r="18" spans="1:12" s="24" customFormat="1" ht="72" customHeight="1" outlineLevel="1" collapsed="1" x14ac:dyDescent="0.25">
      <c r="A18" s="160" t="s">
        <v>3</v>
      </c>
      <c r="B18" s="186" t="s">
        <v>133</v>
      </c>
      <c r="C18" s="126" t="s">
        <v>58</v>
      </c>
      <c r="D18" s="127">
        <v>247</v>
      </c>
      <c r="E18" s="128" t="s">
        <v>55</v>
      </c>
      <c r="F18" s="128" t="s">
        <v>59</v>
      </c>
      <c r="G18" s="127">
        <v>540</v>
      </c>
      <c r="H18" s="107">
        <v>220.5</v>
      </c>
      <c r="I18" s="107">
        <v>0</v>
      </c>
      <c r="J18" s="107">
        <v>0</v>
      </c>
      <c r="K18" s="107">
        <f t="shared" ref="K18" si="2">SUM(H18:J18)</f>
        <v>220.5</v>
      </c>
      <c r="L18" s="160"/>
    </row>
    <row r="19" spans="1:12" s="24" customFormat="1" ht="15.75" outlineLevel="1" x14ac:dyDescent="0.25">
      <c r="A19" s="160"/>
      <c r="B19" s="186"/>
      <c r="C19" s="109" t="s">
        <v>163</v>
      </c>
      <c r="D19" s="83" t="s">
        <v>23</v>
      </c>
      <c r="E19" s="83" t="s">
        <v>23</v>
      </c>
      <c r="F19" s="83" t="s">
        <v>23</v>
      </c>
      <c r="G19" s="83" t="s">
        <v>23</v>
      </c>
      <c r="H19" s="112">
        <f>H18</f>
        <v>220.5</v>
      </c>
      <c r="I19" s="112">
        <f t="shared" ref="I19:J19" si="3">I18</f>
        <v>0</v>
      </c>
      <c r="J19" s="112">
        <f t="shared" si="3"/>
        <v>0</v>
      </c>
      <c r="K19" s="112">
        <f t="shared" ref="K19:K22" si="4">SUM(H19:J19)</f>
        <v>220.5</v>
      </c>
      <c r="L19" s="160"/>
    </row>
    <row r="20" spans="1:12" s="24" customFormat="1" ht="63" outlineLevel="1" x14ac:dyDescent="0.25">
      <c r="A20" s="160" t="s">
        <v>70</v>
      </c>
      <c r="B20" s="186" t="s">
        <v>157</v>
      </c>
      <c r="C20" s="126" t="s">
        <v>158</v>
      </c>
      <c r="D20" s="127">
        <v>244</v>
      </c>
      <c r="E20" s="128" t="s">
        <v>55</v>
      </c>
      <c r="F20" s="128" t="s">
        <v>159</v>
      </c>
      <c r="G20" s="127">
        <v>244</v>
      </c>
      <c r="H20" s="107">
        <v>0</v>
      </c>
      <c r="I20" s="107">
        <v>0</v>
      </c>
      <c r="J20" s="107">
        <v>0</v>
      </c>
      <c r="K20" s="107">
        <f t="shared" si="4"/>
        <v>0</v>
      </c>
      <c r="L20" s="124"/>
    </row>
    <row r="21" spans="1:12" s="24" customFormat="1" ht="15.75" outlineLevel="1" x14ac:dyDescent="0.25">
      <c r="A21" s="160"/>
      <c r="B21" s="186"/>
      <c r="C21" s="109" t="s">
        <v>163</v>
      </c>
      <c r="D21" s="83" t="s">
        <v>23</v>
      </c>
      <c r="E21" s="83" t="s">
        <v>23</v>
      </c>
      <c r="F21" s="83" t="s">
        <v>23</v>
      </c>
      <c r="G21" s="83" t="s">
        <v>23</v>
      </c>
      <c r="H21" s="112">
        <f>H20</f>
        <v>0</v>
      </c>
      <c r="I21" s="112">
        <f t="shared" ref="I21:J21" si="5">I20</f>
        <v>0</v>
      </c>
      <c r="J21" s="112">
        <f t="shared" si="5"/>
        <v>0</v>
      </c>
      <c r="K21" s="112">
        <f t="shared" si="4"/>
        <v>0</v>
      </c>
      <c r="L21" s="124"/>
    </row>
    <row r="22" spans="1:12" x14ac:dyDescent="0.25">
      <c r="A22" s="79"/>
      <c r="B22" s="80" t="s">
        <v>95</v>
      </c>
      <c r="C22" s="79" t="s">
        <v>23</v>
      </c>
      <c r="D22" s="79" t="s">
        <v>23</v>
      </c>
      <c r="E22" s="79" t="s">
        <v>23</v>
      </c>
      <c r="F22" s="79" t="s">
        <v>23</v>
      </c>
      <c r="G22" s="79" t="s">
        <v>23</v>
      </c>
      <c r="H22" s="108">
        <f>H17+H19</f>
        <v>220.5</v>
      </c>
      <c r="I22" s="108">
        <f t="shared" ref="I22:J22" si="6">I17+I19</f>
        <v>0</v>
      </c>
      <c r="J22" s="108">
        <f t="shared" si="6"/>
        <v>0</v>
      </c>
      <c r="K22" s="108">
        <f t="shared" si="4"/>
        <v>220.5</v>
      </c>
      <c r="L22" s="79" t="s">
        <v>23</v>
      </c>
    </row>
    <row r="25" spans="1:12" x14ac:dyDescent="0.25">
      <c r="H25" s="37">
        <f>H18/1000</f>
        <v>0.2205</v>
      </c>
      <c r="I25" s="37">
        <f>I18/1000</f>
        <v>0</v>
      </c>
      <c r="J25" s="37">
        <f>J18/1000</f>
        <v>0</v>
      </c>
      <c r="K25" s="37">
        <f>K18/1000</f>
        <v>0.2205</v>
      </c>
    </row>
    <row r="26" spans="1:12" x14ac:dyDescent="0.25">
      <c r="H26" s="37">
        <f>H22/1000</f>
        <v>0.2205</v>
      </c>
      <c r="I26" s="37">
        <f t="shared" ref="I26:K26" si="7">I22/1000</f>
        <v>0</v>
      </c>
      <c r="J26" s="37">
        <f t="shared" si="7"/>
        <v>0</v>
      </c>
      <c r="K26" s="37">
        <f t="shared" si="7"/>
        <v>0.2205</v>
      </c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4">
    <mergeCell ref="K1:L1"/>
    <mergeCell ref="A14:L14"/>
    <mergeCell ref="A13:L13"/>
    <mergeCell ref="K4:L4"/>
    <mergeCell ref="A7:L7"/>
    <mergeCell ref="A8:L8"/>
    <mergeCell ref="A10:A11"/>
    <mergeCell ref="B10:B11"/>
    <mergeCell ref="C10:C11"/>
    <mergeCell ref="D10:G10"/>
    <mergeCell ref="H10:K10"/>
    <mergeCell ref="L10:L11"/>
    <mergeCell ref="A20:A21"/>
    <mergeCell ref="B20:B21"/>
    <mergeCell ref="G15:G16"/>
    <mergeCell ref="L15:L17"/>
    <mergeCell ref="A18:A19"/>
    <mergeCell ref="B18:B19"/>
    <mergeCell ref="L18:L19"/>
    <mergeCell ref="C15:C16"/>
    <mergeCell ref="B15:B17"/>
    <mergeCell ref="A15:A17"/>
    <mergeCell ref="D15:D16"/>
    <mergeCell ref="E15:E16"/>
  </mergeCells>
  <pageMargins left="0.78740157480314965" right="0.78740157480314965" top="1.1811023622047245" bottom="0.39370078740157483" header="0.31496062992125984" footer="0.31496062992125984"/>
  <pageSetup paperSize="9" scale="72" fitToHeight="0" orientation="landscape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25"/>
  <sheetViews>
    <sheetView view="pageBreakPreview" zoomScale="70" zoomScaleNormal="100" zoomScaleSheetLayoutView="70" workbookViewId="0">
      <selection activeCell="L9" sqref="L9"/>
    </sheetView>
  </sheetViews>
  <sheetFormatPr defaultRowHeight="18.75" outlineLevelRow="1" x14ac:dyDescent="0.25"/>
  <cols>
    <col min="1" max="1" width="4.75" style="18" customWidth="1"/>
    <col min="2" max="2" width="49.625" style="18" customWidth="1"/>
    <col min="3" max="3" width="24.75" style="18" customWidth="1"/>
    <col min="4" max="5" width="7.375" style="18" customWidth="1"/>
    <col min="6" max="6" width="21" style="18" customWidth="1"/>
    <col min="7" max="7" width="5.75" style="18" customWidth="1"/>
    <col min="8" max="9" width="15.25" style="18" bestFit="1" customWidth="1"/>
    <col min="10" max="10" width="13.75" style="18" bestFit="1" customWidth="1"/>
    <col min="11" max="11" width="20" style="18" customWidth="1"/>
    <col min="12" max="12" width="24.5" style="18" customWidth="1"/>
    <col min="13" max="16384" width="9" style="18"/>
  </cols>
  <sheetData>
    <row r="1" spans="1:12" ht="84" customHeight="1" outlineLevel="1" x14ac:dyDescent="0.3">
      <c r="K1" s="178" t="s">
        <v>179</v>
      </c>
      <c r="L1" s="178"/>
    </row>
    <row r="2" spans="1:12" outlineLevel="1" x14ac:dyDescent="0.25"/>
    <row r="3" spans="1:12" outlineLevel="1" x14ac:dyDescent="0.25"/>
    <row r="4" spans="1:12" ht="63" customHeight="1" x14ac:dyDescent="0.25">
      <c r="K4" s="179" t="s">
        <v>130</v>
      </c>
      <c r="L4" s="179"/>
    </row>
    <row r="5" spans="1:12" x14ac:dyDescent="0.25">
      <c r="A5" s="19"/>
    </row>
    <row r="6" spans="1:12" x14ac:dyDescent="0.25">
      <c r="A6" s="19"/>
    </row>
    <row r="7" spans="1:12" x14ac:dyDescent="0.25">
      <c r="A7" s="182" t="s">
        <v>1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</row>
    <row r="8" spans="1:12" x14ac:dyDescent="0.25">
      <c r="A8" s="182" t="s">
        <v>124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</row>
    <row r="9" spans="1:12" x14ac:dyDescent="0.25">
      <c r="A9" s="19"/>
    </row>
    <row r="10" spans="1:12" s="22" customFormat="1" ht="15.75" x14ac:dyDescent="0.25">
      <c r="A10" s="160" t="s">
        <v>12</v>
      </c>
      <c r="B10" s="160" t="s">
        <v>42</v>
      </c>
      <c r="C10" s="160" t="s">
        <v>18</v>
      </c>
      <c r="D10" s="160" t="s">
        <v>16</v>
      </c>
      <c r="E10" s="160"/>
      <c r="F10" s="160"/>
      <c r="G10" s="160"/>
      <c r="H10" s="160" t="s">
        <v>43</v>
      </c>
      <c r="I10" s="160"/>
      <c r="J10" s="160"/>
      <c r="K10" s="160"/>
      <c r="L10" s="160" t="s">
        <v>44</v>
      </c>
    </row>
    <row r="11" spans="1:12" s="22" customFormat="1" ht="93" customHeight="1" x14ac:dyDescent="0.25">
      <c r="A11" s="160"/>
      <c r="B11" s="160"/>
      <c r="C11" s="160"/>
      <c r="D11" s="119" t="s">
        <v>18</v>
      </c>
      <c r="E11" s="119" t="s">
        <v>19</v>
      </c>
      <c r="F11" s="119" t="s">
        <v>20</v>
      </c>
      <c r="G11" s="119" t="s">
        <v>21</v>
      </c>
      <c r="H11" s="129" t="str">
        <f>'пр 7 к МП'!J$16</f>
        <v>2019 год</v>
      </c>
      <c r="I11" s="129" t="str">
        <f>'пр 7 к МП'!K$16</f>
        <v>2020 год</v>
      </c>
      <c r="J11" s="129" t="str">
        <f>'пр 7 к МП'!L$16</f>
        <v>2021 год</v>
      </c>
      <c r="K11" s="119" t="s">
        <v>45</v>
      </c>
      <c r="L11" s="160"/>
    </row>
    <row r="12" spans="1:12" s="22" customFormat="1" ht="15.75" x14ac:dyDescent="0.25">
      <c r="A12" s="119">
        <v>1</v>
      </c>
      <c r="B12" s="119">
        <v>2</v>
      </c>
      <c r="C12" s="119">
        <v>3</v>
      </c>
      <c r="D12" s="119">
        <v>4</v>
      </c>
      <c r="E12" s="119">
        <v>5</v>
      </c>
      <c r="F12" s="119">
        <v>6</v>
      </c>
      <c r="G12" s="119">
        <v>7</v>
      </c>
      <c r="H12" s="119">
        <v>8</v>
      </c>
      <c r="I12" s="119">
        <v>9</v>
      </c>
      <c r="J12" s="119">
        <v>10</v>
      </c>
      <c r="K12" s="119">
        <v>11</v>
      </c>
      <c r="L12" s="119">
        <v>12</v>
      </c>
    </row>
    <row r="13" spans="1:12" s="23" customFormat="1" ht="18.75" customHeight="1" x14ac:dyDescent="0.25">
      <c r="A13" s="190" t="s">
        <v>122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2"/>
    </row>
    <row r="14" spans="1:12" s="23" customFormat="1" ht="18" customHeight="1" x14ac:dyDescent="0.25">
      <c r="A14" s="190" t="s">
        <v>123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2"/>
    </row>
    <row r="15" spans="1:12" s="24" customFormat="1" ht="67.5" customHeight="1" x14ac:dyDescent="0.25">
      <c r="A15" s="169" t="s">
        <v>3</v>
      </c>
      <c r="B15" s="172" t="s">
        <v>151</v>
      </c>
      <c r="C15" s="119" t="s">
        <v>57</v>
      </c>
      <c r="D15" s="119">
        <v>241</v>
      </c>
      <c r="E15" s="97" t="s">
        <v>61</v>
      </c>
      <c r="F15" s="121" t="s">
        <v>125</v>
      </c>
      <c r="G15" s="119">
        <v>244</v>
      </c>
      <c r="H15" s="46">
        <v>10600</v>
      </c>
      <c r="I15" s="46">
        <f>H15</f>
        <v>10600</v>
      </c>
      <c r="J15" s="46">
        <f>I15</f>
        <v>10600</v>
      </c>
      <c r="K15" s="47">
        <f t="shared" ref="K15:K16" si="0">SUM(H15:J15)</f>
        <v>31800</v>
      </c>
      <c r="L15" s="169" t="s">
        <v>112</v>
      </c>
    </row>
    <row r="16" spans="1:12" s="24" customFormat="1" ht="15.75" x14ac:dyDescent="0.25">
      <c r="A16" s="171"/>
      <c r="B16" s="173"/>
      <c r="C16" s="109" t="s">
        <v>163</v>
      </c>
      <c r="D16" s="83" t="s">
        <v>23</v>
      </c>
      <c r="E16" s="83" t="s">
        <v>23</v>
      </c>
      <c r="F16" s="83" t="s">
        <v>23</v>
      </c>
      <c r="G16" s="83" t="s">
        <v>23</v>
      </c>
      <c r="H16" s="84">
        <f>H15</f>
        <v>10600</v>
      </c>
      <c r="I16" s="84">
        <f t="shared" ref="I16:J16" si="1">I15</f>
        <v>10600</v>
      </c>
      <c r="J16" s="84">
        <f t="shared" si="1"/>
        <v>10600</v>
      </c>
      <c r="K16" s="98">
        <f t="shared" si="0"/>
        <v>31800</v>
      </c>
      <c r="L16" s="171"/>
    </row>
    <row r="17" spans="1:12" s="24" customFormat="1" ht="33.75" customHeight="1" outlineLevel="1" x14ac:dyDescent="0.25">
      <c r="A17" s="169" t="s">
        <v>70</v>
      </c>
      <c r="B17" s="172" t="s">
        <v>153</v>
      </c>
      <c r="C17" s="169" t="s">
        <v>80</v>
      </c>
      <c r="D17" s="169">
        <v>242</v>
      </c>
      <c r="E17" s="180" t="s">
        <v>156</v>
      </c>
      <c r="F17" s="121" t="s">
        <v>154</v>
      </c>
      <c r="G17" s="169">
        <v>244</v>
      </c>
      <c r="H17" s="46">
        <v>2654.5010000000002</v>
      </c>
      <c r="I17" s="46"/>
      <c r="J17" s="46"/>
      <c r="K17" s="47">
        <f t="shared" ref="K17:K19" si="2">SUM(H17:J17)</f>
        <v>2654.5010000000002</v>
      </c>
      <c r="L17" s="169" t="s">
        <v>112</v>
      </c>
    </row>
    <row r="18" spans="1:12" s="24" customFormat="1" ht="33.75" customHeight="1" outlineLevel="1" x14ac:dyDescent="0.25">
      <c r="A18" s="170"/>
      <c r="B18" s="176"/>
      <c r="C18" s="171"/>
      <c r="D18" s="171"/>
      <c r="E18" s="181"/>
      <c r="F18" s="121" t="s">
        <v>155</v>
      </c>
      <c r="G18" s="171"/>
      <c r="H18" s="46">
        <v>13.273</v>
      </c>
      <c r="I18" s="46"/>
      <c r="J18" s="46"/>
      <c r="K18" s="47">
        <f t="shared" si="2"/>
        <v>13.273</v>
      </c>
      <c r="L18" s="170"/>
    </row>
    <row r="19" spans="1:12" s="24" customFormat="1" ht="15.75" outlineLevel="1" x14ac:dyDescent="0.25">
      <c r="A19" s="171"/>
      <c r="B19" s="173"/>
      <c r="C19" s="83" t="s">
        <v>143</v>
      </c>
      <c r="D19" s="83" t="s">
        <v>23</v>
      </c>
      <c r="E19" s="83" t="s">
        <v>23</v>
      </c>
      <c r="F19" s="83" t="s">
        <v>23</v>
      </c>
      <c r="G19" s="83" t="s">
        <v>23</v>
      </c>
      <c r="H19" s="84">
        <f>H17+H18</f>
        <v>2667.7740000000003</v>
      </c>
      <c r="I19" s="84">
        <f t="shared" ref="I19:J19" si="3">I17+I18</f>
        <v>0</v>
      </c>
      <c r="J19" s="84">
        <f t="shared" si="3"/>
        <v>0</v>
      </c>
      <c r="K19" s="98">
        <f t="shared" si="2"/>
        <v>2667.7740000000003</v>
      </c>
      <c r="L19" s="171"/>
    </row>
    <row r="20" spans="1:12" x14ac:dyDescent="0.25">
      <c r="A20" s="79"/>
      <c r="B20" s="80" t="s">
        <v>95</v>
      </c>
      <c r="C20" s="79" t="s">
        <v>23</v>
      </c>
      <c r="D20" s="79" t="s">
        <v>23</v>
      </c>
      <c r="E20" s="79" t="s">
        <v>23</v>
      </c>
      <c r="F20" s="79" t="s">
        <v>23</v>
      </c>
      <c r="G20" s="79" t="s">
        <v>23</v>
      </c>
      <c r="H20" s="81">
        <f>H16+H19</f>
        <v>13267.774000000001</v>
      </c>
      <c r="I20" s="81">
        <f t="shared" ref="I20:J20" si="4">I16+I19</f>
        <v>10600</v>
      </c>
      <c r="J20" s="81">
        <f t="shared" si="4"/>
        <v>10600</v>
      </c>
      <c r="K20" s="81">
        <f>SUM(H20:J20)</f>
        <v>34467.774000000005</v>
      </c>
      <c r="L20" s="99" t="s">
        <v>23</v>
      </c>
    </row>
    <row r="21" spans="1:12" x14ac:dyDescent="0.25">
      <c r="H21" s="77"/>
    </row>
    <row r="22" spans="1:12" x14ac:dyDescent="0.25">
      <c r="H22" s="77"/>
    </row>
    <row r="25" spans="1:12" x14ac:dyDescent="0.25">
      <c r="F25" s="75"/>
      <c r="G25" s="75"/>
      <c r="H25" s="76"/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2">
    <mergeCell ref="K1:L1"/>
    <mergeCell ref="A17:A19"/>
    <mergeCell ref="B17:B19"/>
    <mergeCell ref="L17:L19"/>
    <mergeCell ref="C17:C18"/>
    <mergeCell ref="D17:D18"/>
    <mergeCell ref="E17:E18"/>
    <mergeCell ref="G17:G18"/>
    <mergeCell ref="B15:B16"/>
    <mergeCell ref="A15:A16"/>
    <mergeCell ref="L15:L16"/>
    <mergeCell ref="A14:L14"/>
    <mergeCell ref="A13:L13"/>
    <mergeCell ref="K4:L4"/>
    <mergeCell ref="A7:L7"/>
    <mergeCell ref="A8:L8"/>
    <mergeCell ref="L10:L11"/>
    <mergeCell ref="A10:A11"/>
    <mergeCell ref="B10:B11"/>
    <mergeCell ref="C10:C11"/>
    <mergeCell ref="D10:G10"/>
    <mergeCell ref="H10:K10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57"/>
  <sheetViews>
    <sheetView view="pageBreakPreview" zoomScale="70" zoomScaleNormal="70" zoomScaleSheetLayoutView="70" zoomScalePageLayoutView="85" workbookViewId="0">
      <selection activeCell="L14" sqref="L14:L15"/>
    </sheetView>
  </sheetViews>
  <sheetFormatPr defaultRowHeight="15.75" outlineLevelRow="1" x14ac:dyDescent="0.25"/>
  <cols>
    <col min="1" max="1" width="4.875" style="4" customWidth="1"/>
    <col min="2" max="2" width="16.625" style="1" customWidth="1"/>
    <col min="3" max="3" width="17.375" style="1" customWidth="1"/>
    <col min="4" max="4" width="25.625" style="1" customWidth="1"/>
    <col min="5" max="5" width="9" style="4"/>
    <col min="6" max="8" width="9" style="1"/>
    <col min="9" max="9" width="14.625" style="1" customWidth="1"/>
    <col min="10" max="10" width="18.625" style="1" bestFit="1" customWidth="1"/>
    <col min="11" max="11" width="14.25" style="1" customWidth="1"/>
    <col min="12" max="12" width="18.125" style="1" bestFit="1" customWidth="1"/>
    <col min="13" max="16384" width="9" style="1"/>
  </cols>
  <sheetData>
    <row r="1" spans="1:12" ht="84" customHeight="1" outlineLevel="1" x14ac:dyDescent="0.3">
      <c r="J1" s="178" t="s">
        <v>180</v>
      </c>
      <c r="K1" s="178"/>
      <c r="L1" s="178"/>
    </row>
    <row r="2" spans="1:12" outlineLevel="1" x14ac:dyDescent="0.25"/>
    <row r="3" spans="1:12" outlineLevel="1" x14ac:dyDescent="0.25"/>
    <row r="4" spans="1:12" ht="15.75" customHeight="1" x14ac:dyDescent="0.25">
      <c r="J4" s="70" t="s">
        <v>116</v>
      </c>
      <c r="K4" s="70"/>
      <c r="L4" s="16"/>
    </row>
    <row r="5" spans="1:12" ht="66" customHeight="1" x14ac:dyDescent="0.25">
      <c r="J5" s="162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K5" s="162"/>
      <c r="L5" s="162"/>
    </row>
    <row r="6" spans="1:12" ht="18.75" x14ac:dyDescent="0.25">
      <c r="A6" s="68"/>
    </row>
    <row r="7" spans="1:12" ht="18.75" x14ac:dyDescent="0.25">
      <c r="A7" s="68"/>
    </row>
    <row r="8" spans="1:12" ht="18.75" x14ac:dyDescent="0.25">
      <c r="A8" s="165" t="s">
        <v>0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</row>
    <row r="9" spans="1:12" ht="18.75" x14ac:dyDescent="0.25">
      <c r="A9" s="165" t="s">
        <v>90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</row>
    <row r="10" spans="1:12" ht="18.75" x14ac:dyDescent="0.25">
      <c r="A10" s="165" t="s">
        <v>91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</row>
    <row r="11" spans="1:12" ht="18.75" x14ac:dyDescent="0.25">
      <c r="A11" s="165" t="s">
        <v>29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1:12" ht="18.75" x14ac:dyDescent="0.25">
      <c r="A12" s="68"/>
    </row>
    <row r="13" spans="1:12" ht="18.75" x14ac:dyDescent="0.25">
      <c r="L13" s="5" t="s">
        <v>132</v>
      </c>
    </row>
    <row r="14" spans="1:12" ht="36" customHeight="1" x14ac:dyDescent="0.25">
      <c r="A14" s="196" t="s">
        <v>12</v>
      </c>
      <c r="B14" s="197" t="s">
        <v>26</v>
      </c>
      <c r="C14" s="196" t="s">
        <v>27</v>
      </c>
      <c r="D14" s="196" t="s">
        <v>15</v>
      </c>
      <c r="E14" s="196" t="s">
        <v>16</v>
      </c>
      <c r="F14" s="196"/>
      <c r="G14" s="196"/>
      <c r="H14" s="196"/>
      <c r="I14" s="101" t="str">
        <f>'пр 7 к МП'!J$16</f>
        <v>2019 год</v>
      </c>
      <c r="J14" s="129" t="str">
        <f>'пр 7 к МП'!K$16</f>
        <v>2020 год</v>
      </c>
      <c r="K14" s="129" t="str">
        <f>'пр 7 к МП'!L$16</f>
        <v>2021 год</v>
      </c>
      <c r="L14" s="196" t="s">
        <v>17</v>
      </c>
    </row>
    <row r="15" spans="1:12" ht="36" customHeight="1" x14ac:dyDescent="0.25">
      <c r="A15" s="196"/>
      <c r="B15" s="197"/>
      <c r="C15" s="196"/>
      <c r="D15" s="196"/>
      <c r="E15" s="71" t="s">
        <v>18</v>
      </c>
      <c r="F15" s="71" t="s">
        <v>19</v>
      </c>
      <c r="G15" s="71" t="s">
        <v>20</v>
      </c>
      <c r="H15" s="71" t="s">
        <v>21</v>
      </c>
      <c r="I15" s="71" t="s">
        <v>22</v>
      </c>
      <c r="J15" s="71" t="s">
        <v>22</v>
      </c>
      <c r="K15" s="71" t="s">
        <v>22</v>
      </c>
      <c r="L15" s="196"/>
    </row>
    <row r="16" spans="1:12" x14ac:dyDescent="0.25">
      <c r="A16" s="67">
        <v>1</v>
      </c>
      <c r="B16" s="67">
        <v>2</v>
      </c>
      <c r="C16" s="67">
        <v>3</v>
      </c>
      <c r="D16" s="67">
        <v>4</v>
      </c>
      <c r="E16" s="67">
        <v>5</v>
      </c>
      <c r="F16" s="67">
        <v>6</v>
      </c>
      <c r="G16" s="67">
        <v>7</v>
      </c>
      <c r="H16" s="67">
        <v>8</v>
      </c>
      <c r="I16" s="67">
        <v>9</v>
      </c>
      <c r="J16" s="67">
        <v>10</v>
      </c>
      <c r="K16" s="67">
        <v>11</v>
      </c>
      <c r="L16" s="67">
        <v>12</v>
      </c>
    </row>
    <row r="17" spans="1:12" ht="63" x14ac:dyDescent="0.25">
      <c r="A17" s="195">
        <v>1</v>
      </c>
      <c r="B17" s="198" t="s">
        <v>32</v>
      </c>
      <c r="C17" s="198" t="s">
        <v>86</v>
      </c>
      <c r="D17" s="62" t="s">
        <v>87</v>
      </c>
      <c r="E17" s="63" t="s">
        <v>23</v>
      </c>
      <c r="F17" s="63" t="s">
        <v>23</v>
      </c>
      <c r="G17" s="63" t="s">
        <v>23</v>
      </c>
      <c r="H17" s="63" t="s">
        <v>23</v>
      </c>
      <c r="I17" s="64" t="e">
        <f>SUM(I19:I22)</f>
        <v>#REF!</v>
      </c>
      <c r="J17" s="64" t="e">
        <f t="shared" ref="J17:K17" si="0">SUM(J19:J22)</f>
        <v>#REF!</v>
      </c>
      <c r="K17" s="64" t="e">
        <f t="shared" si="0"/>
        <v>#REF!</v>
      </c>
      <c r="L17" s="64" t="e">
        <f>SUM(I17:K17)</f>
        <v>#REF!</v>
      </c>
    </row>
    <row r="18" spans="1:12" x14ac:dyDescent="0.25">
      <c r="A18" s="195"/>
      <c r="B18" s="198"/>
      <c r="C18" s="198"/>
      <c r="D18" s="62" t="s">
        <v>24</v>
      </c>
      <c r="E18" s="63"/>
      <c r="F18" s="63" t="s">
        <v>23</v>
      </c>
      <c r="G18" s="63" t="s">
        <v>23</v>
      </c>
      <c r="H18" s="63" t="s">
        <v>23</v>
      </c>
      <c r="I18" s="64"/>
      <c r="J18" s="64"/>
      <c r="K18" s="64"/>
      <c r="L18" s="64">
        <f t="shared" ref="L18:L37" si="1">SUM(I18:K18)</f>
        <v>0</v>
      </c>
    </row>
    <row r="19" spans="1:12" ht="31.5" x14ac:dyDescent="0.25">
      <c r="A19" s="195"/>
      <c r="B19" s="198"/>
      <c r="C19" s="198"/>
      <c r="D19" s="62" t="s">
        <v>57</v>
      </c>
      <c r="E19" s="63">
        <v>241</v>
      </c>
      <c r="F19" s="63" t="s">
        <v>23</v>
      </c>
      <c r="G19" s="63" t="s">
        <v>23</v>
      </c>
      <c r="H19" s="63" t="s">
        <v>23</v>
      </c>
      <c r="I19" s="64" t="e">
        <f>SUMIF($D$23:$D$39,$D19,I$23:I$39)</f>
        <v>#REF!</v>
      </c>
      <c r="J19" s="64" t="e">
        <f t="shared" ref="J19:K19" si="2">SUMIF($D$23:$D$39,$D19,J$23:J$39)</f>
        <v>#REF!</v>
      </c>
      <c r="K19" s="64" t="e">
        <f t="shared" si="2"/>
        <v>#REF!</v>
      </c>
      <c r="L19" s="64" t="e">
        <f t="shared" si="1"/>
        <v>#REF!</v>
      </c>
    </row>
    <row r="20" spans="1:12" ht="47.25" x14ac:dyDescent="0.25">
      <c r="A20" s="195"/>
      <c r="B20" s="198"/>
      <c r="C20" s="198"/>
      <c r="D20" s="62" t="s">
        <v>80</v>
      </c>
      <c r="E20" s="63">
        <v>242</v>
      </c>
      <c r="F20" s="63" t="s">
        <v>23</v>
      </c>
      <c r="G20" s="63" t="s">
        <v>23</v>
      </c>
      <c r="H20" s="63" t="s">
        <v>23</v>
      </c>
      <c r="I20" s="64" t="e">
        <f t="shared" ref="I20:K22" si="3">SUMIF($D$23:$D$39,$D20,I$23:I$39)</f>
        <v>#REF!</v>
      </c>
      <c r="J20" s="64" t="e">
        <f t="shared" si="3"/>
        <v>#REF!</v>
      </c>
      <c r="K20" s="64" t="e">
        <f t="shared" si="3"/>
        <v>#REF!</v>
      </c>
      <c r="L20" s="64" t="e">
        <f t="shared" si="1"/>
        <v>#REF!</v>
      </c>
    </row>
    <row r="21" spans="1:12" ht="63" x14ac:dyDescent="0.25">
      <c r="A21" s="195"/>
      <c r="B21" s="198"/>
      <c r="C21" s="198"/>
      <c r="D21" s="62" t="s">
        <v>58</v>
      </c>
      <c r="E21" s="63">
        <v>247</v>
      </c>
      <c r="F21" s="63" t="s">
        <v>23</v>
      </c>
      <c r="G21" s="63" t="s">
        <v>23</v>
      </c>
      <c r="H21" s="63" t="s">
        <v>23</v>
      </c>
      <c r="I21" s="64" t="e">
        <f t="shared" si="3"/>
        <v>#REF!</v>
      </c>
      <c r="J21" s="64" t="e">
        <f t="shared" si="3"/>
        <v>#REF!</v>
      </c>
      <c r="K21" s="64" t="e">
        <f t="shared" si="3"/>
        <v>#REF!</v>
      </c>
      <c r="L21" s="64" t="e">
        <f>SUM(I21:K21)</f>
        <v>#REF!</v>
      </c>
    </row>
    <row r="22" spans="1:12" ht="47.25" x14ac:dyDescent="0.25">
      <c r="A22" s="195"/>
      <c r="B22" s="198"/>
      <c r="C22" s="198"/>
      <c r="D22" s="62" t="s">
        <v>137</v>
      </c>
      <c r="E22" s="63">
        <v>243</v>
      </c>
      <c r="F22" s="63" t="s">
        <v>23</v>
      </c>
      <c r="G22" s="63" t="s">
        <v>23</v>
      </c>
      <c r="H22" s="63" t="s">
        <v>23</v>
      </c>
      <c r="I22" s="64">
        <f t="shared" si="3"/>
        <v>0</v>
      </c>
      <c r="J22" s="64">
        <f t="shared" si="3"/>
        <v>0</v>
      </c>
      <c r="K22" s="64">
        <f t="shared" si="3"/>
        <v>0</v>
      </c>
      <c r="L22" s="64">
        <f>SUM(I22:K22)</f>
        <v>0</v>
      </c>
    </row>
    <row r="23" spans="1:12" ht="78.75" x14ac:dyDescent="0.25">
      <c r="A23" s="193" t="s">
        <v>3</v>
      </c>
      <c r="B23" s="194" t="s">
        <v>11</v>
      </c>
      <c r="C23" s="194" t="s">
        <v>94</v>
      </c>
      <c r="D23" s="66" t="s">
        <v>28</v>
      </c>
      <c r="E23" s="67"/>
      <c r="F23" s="67" t="s">
        <v>23</v>
      </c>
      <c r="G23" s="67" t="s">
        <v>23</v>
      </c>
      <c r="H23" s="67" t="s">
        <v>23</v>
      </c>
      <c r="I23" s="45">
        <f>I25+I26</f>
        <v>78285.685000000012</v>
      </c>
      <c r="J23" s="45">
        <f t="shared" ref="J23:K23" si="4">J25+J26</f>
        <v>49282.885000000002</v>
      </c>
      <c r="K23" s="45">
        <f t="shared" si="4"/>
        <v>50351.385000000002</v>
      </c>
      <c r="L23" s="45">
        <f t="shared" si="1"/>
        <v>177919.95500000002</v>
      </c>
    </row>
    <row r="24" spans="1:12" x14ac:dyDescent="0.25">
      <c r="A24" s="193"/>
      <c r="B24" s="194"/>
      <c r="C24" s="194"/>
      <c r="D24" s="66" t="s">
        <v>24</v>
      </c>
      <c r="E24" s="67"/>
      <c r="F24" s="67" t="s">
        <v>23</v>
      </c>
      <c r="G24" s="67" t="s">
        <v>23</v>
      </c>
      <c r="H24" s="67" t="s">
        <v>23</v>
      </c>
      <c r="I24" s="45"/>
      <c r="J24" s="45"/>
      <c r="K24" s="45"/>
      <c r="L24" s="45">
        <f t="shared" si="1"/>
        <v>0</v>
      </c>
    </row>
    <row r="25" spans="1:12" ht="47.25" x14ac:dyDescent="0.25">
      <c r="A25" s="193"/>
      <c r="B25" s="194"/>
      <c r="C25" s="194"/>
      <c r="D25" s="66" t="s">
        <v>80</v>
      </c>
      <c r="E25" s="67">
        <f>E20</f>
        <v>242</v>
      </c>
      <c r="F25" s="67" t="s">
        <v>23</v>
      </c>
      <c r="G25" s="67" t="s">
        <v>23</v>
      </c>
      <c r="H25" s="67" t="s">
        <v>23</v>
      </c>
      <c r="I25" s="45">
        <f>'пр к ПП1'!H19</f>
        <v>1650.83</v>
      </c>
      <c r="J25" s="45">
        <f>'пр к ПП1'!I19</f>
        <v>1650.83</v>
      </c>
      <c r="K25" s="45">
        <f>'пр к ПП1'!J19</f>
        <v>1650.83</v>
      </c>
      <c r="L25" s="45">
        <f t="shared" si="1"/>
        <v>4952.49</v>
      </c>
    </row>
    <row r="26" spans="1:12" ht="63" x14ac:dyDescent="0.25">
      <c r="A26" s="193"/>
      <c r="B26" s="194"/>
      <c r="C26" s="194"/>
      <c r="D26" s="66" t="s">
        <v>58</v>
      </c>
      <c r="E26" s="67">
        <f>E21</f>
        <v>247</v>
      </c>
      <c r="F26" s="67" t="s">
        <v>23</v>
      </c>
      <c r="G26" s="67" t="s">
        <v>23</v>
      </c>
      <c r="H26" s="67" t="s">
        <v>23</v>
      </c>
      <c r="I26" s="45">
        <f>'пр к ПП1'!H15+'пр к ПП1'!H17+'пр к ПП1'!H20+'пр к ПП1'!H22+'пр к ПП1'!H24+'пр к ПП1'!H25+'пр к ПП1'!H27</f>
        <v>76634.85500000001</v>
      </c>
      <c r="J26" s="45">
        <f>'пр к ПП1'!I15+'пр к ПП1'!I17+'пр к ПП1'!I20+'пр к ПП1'!I22+'пр к ПП1'!I24+'пр к ПП1'!I25+'пр к ПП1'!I27</f>
        <v>47632.055</v>
      </c>
      <c r="K26" s="45">
        <f>'пр к ПП1'!J15+'пр к ПП1'!J17+'пр к ПП1'!J20+'пр к ПП1'!J22+'пр к ПП1'!J24+'пр к ПП1'!J25+'пр к ПП1'!J27</f>
        <v>48700.555</v>
      </c>
      <c r="L26" s="45">
        <f t="shared" si="1"/>
        <v>172967.465</v>
      </c>
    </row>
    <row r="27" spans="1:12" ht="31.5" x14ac:dyDescent="0.25">
      <c r="A27" s="193" t="s">
        <v>70</v>
      </c>
      <c r="B27" s="194" t="s">
        <v>77</v>
      </c>
      <c r="C27" s="194" t="s">
        <v>81</v>
      </c>
      <c r="D27" s="66" t="s">
        <v>25</v>
      </c>
      <c r="E27" s="67"/>
      <c r="F27" s="67" t="s">
        <v>23</v>
      </c>
      <c r="G27" s="67" t="s">
        <v>23</v>
      </c>
      <c r="H27" s="67" t="s">
        <v>23</v>
      </c>
      <c r="I27" s="45" t="e">
        <f>I29+I30+I31</f>
        <v>#REF!</v>
      </c>
      <c r="J27" s="45" t="e">
        <f t="shared" ref="J27:K27" si="5">J29+J30+J31</f>
        <v>#REF!</v>
      </c>
      <c r="K27" s="45" t="e">
        <f t="shared" si="5"/>
        <v>#REF!</v>
      </c>
      <c r="L27" s="45" t="e">
        <f t="shared" si="1"/>
        <v>#REF!</v>
      </c>
    </row>
    <row r="28" spans="1:12" x14ac:dyDescent="0.25">
      <c r="A28" s="193"/>
      <c r="B28" s="194"/>
      <c r="C28" s="194"/>
      <c r="D28" s="66" t="s">
        <v>24</v>
      </c>
      <c r="E28" s="67"/>
      <c r="F28" s="67" t="s">
        <v>23</v>
      </c>
      <c r="G28" s="67" t="s">
        <v>23</v>
      </c>
      <c r="H28" s="67" t="s">
        <v>23</v>
      </c>
      <c r="I28" s="45"/>
      <c r="J28" s="45"/>
      <c r="K28" s="45"/>
      <c r="L28" s="45">
        <f t="shared" si="1"/>
        <v>0</v>
      </c>
    </row>
    <row r="29" spans="1:12" ht="31.5" x14ac:dyDescent="0.25">
      <c r="A29" s="193"/>
      <c r="B29" s="194"/>
      <c r="C29" s="194"/>
      <c r="D29" s="66" t="s">
        <v>57</v>
      </c>
      <c r="E29" s="67">
        <f>E19</f>
        <v>241</v>
      </c>
      <c r="F29" s="67" t="s">
        <v>23</v>
      </c>
      <c r="G29" s="67" t="s">
        <v>23</v>
      </c>
      <c r="H29" s="67" t="s">
        <v>23</v>
      </c>
      <c r="I29" s="45" t="e">
        <f>#REF!+#REF!</f>
        <v>#REF!</v>
      </c>
      <c r="J29" s="45" t="e">
        <f>#REF!+#REF!</f>
        <v>#REF!</v>
      </c>
      <c r="K29" s="45" t="e">
        <f>#REF!+#REF!</f>
        <v>#REF!</v>
      </c>
      <c r="L29" s="45" t="e">
        <f>SUM(I29:K29)</f>
        <v>#REF!</v>
      </c>
    </row>
    <row r="30" spans="1:12" ht="47.25" x14ac:dyDescent="0.25">
      <c r="A30" s="193"/>
      <c r="B30" s="194"/>
      <c r="C30" s="194"/>
      <c r="D30" s="66" t="s">
        <v>80</v>
      </c>
      <c r="E30" s="69">
        <f>E20</f>
        <v>242</v>
      </c>
      <c r="F30" s="67" t="s">
        <v>23</v>
      </c>
      <c r="G30" s="67" t="s">
        <v>23</v>
      </c>
      <c r="H30" s="67" t="s">
        <v>23</v>
      </c>
      <c r="I30" s="45" t="e">
        <f>#REF!</f>
        <v>#REF!</v>
      </c>
      <c r="J30" s="45" t="e">
        <f>#REF!</f>
        <v>#REF!</v>
      </c>
      <c r="K30" s="45" t="e">
        <f>#REF!</f>
        <v>#REF!</v>
      </c>
      <c r="L30" s="45" t="e">
        <f>SUM(I30:K30)</f>
        <v>#REF!</v>
      </c>
    </row>
    <row r="31" spans="1:12" ht="63" x14ac:dyDescent="0.25">
      <c r="A31" s="193"/>
      <c r="B31" s="194"/>
      <c r="C31" s="194"/>
      <c r="D31" s="118" t="s">
        <v>58</v>
      </c>
      <c r="E31" s="117">
        <f>E26</f>
        <v>247</v>
      </c>
      <c r="F31" s="117" t="s">
        <v>23</v>
      </c>
      <c r="G31" s="117" t="s">
        <v>23</v>
      </c>
      <c r="H31" s="117" t="s">
        <v>23</v>
      </c>
      <c r="I31" s="45" t="e">
        <f>#REF!</f>
        <v>#REF!</v>
      </c>
      <c r="J31" s="45" t="e">
        <f>#REF!</f>
        <v>#REF!</v>
      </c>
      <c r="K31" s="45" t="e">
        <f>#REF!</f>
        <v>#REF!</v>
      </c>
      <c r="L31" s="45" t="e">
        <f t="shared" ref="L31" si="6">SUM(I31:K31)</f>
        <v>#REF!</v>
      </c>
    </row>
    <row r="32" spans="1:12" ht="31.5" customHeight="1" x14ac:dyDescent="0.25">
      <c r="A32" s="193" t="s">
        <v>72</v>
      </c>
      <c r="B32" s="194" t="s">
        <v>78</v>
      </c>
      <c r="C32" s="194" t="s">
        <v>82</v>
      </c>
      <c r="D32" s="66" t="s">
        <v>25</v>
      </c>
      <c r="E32" s="67"/>
      <c r="F32" s="67" t="s">
        <v>23</v>
      </c>
      <c r="G32" s="67" t="s">
        <v>23</v>
      </c>
      <c r="H32" s="67" t="s">
        <v>23</v>
      </c>
      <c r="I32" s="45">
        <f>I34+I35</f>
        <v>220.5</v>
      </c>
      <c r="J32" s="45">
        <f t="shared" ref="J32:K32" si="7">J34+J35</f>
        <v>0</v>
      </c>
      <c r="K32" s="45">
        <f t="shared" si="7"/>
        <v>0</v>
      </c>
      <c r="L32" s="45">
        <f t="shared" si="1"/>
        <v>220.5</v>
      </c>
    </row>
    <row r="33" spans="1:12" x14ac:dyDescent="0.25">
      <c r="A33" s="193"/>
      <c r="B33" s="194"/>
      <c r="C33" s="194"/>
      <c r="D33" s="66" t="s">
        <v>24</v>
      </c>
      <c r="E33" s="67"/>
      <c r="F33" s="67" t="s">
        <v>23</v>
      </c>
      <c r="G33" s="67" t="s">
        <v>23</v>
      </c>
      <c r="H33" s="67" t="s">
        <v>23</v>
      </c>
      <c r="I33" s="45"/>
      <c r="J33" s="45"/>
      <c r="K33" s="45"/>
      <c r="L33" s="45">
        <f t="shared" si="1"/>
        <v>0</v>
      </c>
    </row>
    <row r="34" spans="1:12" ht="63" x14ac:dyDescent="0.25">
      <c r="A34" s="193"/>
      <c r="B34" s="194"/>
      <c r="C34" s="194"/>
      <c r="D34" s="66" t="s">
        <v>58</v>
      </c>
      <c r="E34" s="67">
        <f>E21</f>
        <v>247</v>
      </c>
      <c r="F34" s="67" t="s">
        <v>23</v>
      </c>
      <c r="G34" s="67" t="s">
        <v>23</v>
      </c>
      <c r="H34" s="67" t="s">
        <v>23</v>
      </c>
      <c r="I34" s="45">
        <f>'пр к ПП3'!H18</f>
        <v>220.5</v>
      </c>
      <c r="J34" s="45">
        <f>'пр к ПП3'!I18</f>
        <v>0</v>
      </c>
      <c r="K34" s="45">
        <f>'пр к ПП3'!J18</f>
        <v>0</v>
      </c>
      <c r="L34" s="45">
        <f>SUM(I34:K34)</f>
        <v>220.5</v>
      </c>
    </row>
    <row r="35" spans="1:12" ht="47.25" x14ac:dyDescent="0.25">
      <c r="A35" s="193"/>
      <c r="B35" s="194"/>
      <c r="C35" s="194"/>
      <c r="D35" s="66" t="s">
        <v>137</v>
      </c>
      <c r="E35" s="69">
        <f>E22</f>
        <v>243</v>
      </c>
      <c r="F35" s="67" t="s">
        <v>23</v>
      </c>
      <c r="G35" s="67" t="s">
        <v>23</v>
      </c>
      <c r="H35" s="67" t="s">
        <v>23</v>
      </c>
      <c r="I35" s="45">
        <f>'пр к ПП3'!H15+'пр к ПП3'!H16</f>
        <v>0</v>
      </c>
      <c r="J35" s="45">
        <f>'пр к ПП3'!I15+'пр к ПП3'!I16</f>
        <v>0</v>
      </c>
      <c r="K35" s="45">
        <f>'пр к ПП3'!J15+'пр к ПП3'!J16</f>
        <v>0</v>
      </c>
      <c r="L35" s="45">
        <f>SUM(I35:K35)</f>
        <v>0</v>
      </c>
    </row>
    <row r="36" spans="1:12" ht="31.5" customHeight="1" x14ac:dyDescent="0.25">
      <c r="A36" s="193" t="s">
        <v>73</v>
      </c>
      <c r="B36" s="194" t="s">
        <v>79</v>
      </c>
      <c r="C36" s="194" t="s">
        <v>115</v>
      </c>
      <c r="D36" s="66" t="s">
        <v>25</v>
      </c>
      <c r="E36" s="67"/>
      <c r="F36" s="67" t="s">
        <v>23</v>
      </c>
      <c r="G36" s="67" t="s">
        <v>23</v>
      </c>
      <c r="H36" s="67" t="s">
        <v>23</v>
      </c>
      <c r="I36" s="45">
        <f>I38+I39</f>
        <v>13267.774000000001</v>
      </c>
      <c r="J36" s="45">
        <f t="shared" ref="J36:L36" si="8">J38+J39</f>
        <v>10600</v>
      </c>
      <c r="K36" s="45">
        <f t="shared" si="8"/>
        <v>10600</v>
      </c>
      <c r="L36" s="45">
        <f t="shared" si="8"/>
        <v>34467.773999999998</v>
      </c>
    </row>
    <row r="37" spans="1:12" x14ac:dyDescent="0.25">
      <c r="A37" s="193"/>
      <c r="B37" s="194"/>
      <c r="C37" s="194"/>
      <c r="D37" s="66" t="s">
        <v>24</v>
      </c>
      <c r="E37" s="67"/>
      <c r="F37" s="67" t="s">
        <v>23</v>
      </c>
      <c r="G37" s="67" t="s">
        <v>23</v>
      </c>
      <c r="H37" s="67" t="s">
        <v>23</v>
      </c>
      <c r="I37" s="45"/>
      <c r="J37" s="45"/>
      <c r="K37" s="45"/>
      <c r="L37" s="45">
        <f t="shared" si="1"/>
        <v>0</v>
      </c>
    </row>
    <row r="38" spans="1:12" ht="31.5" x14ac:dyDescent="0.25">
      <c r="A38" s="193"/>
      <c r="B38" s="194"/>
      <c r="C38" s="194"/>
      <c r="D38" s="66" t="s">
        <v>57</v>
      </c>
      <c r="E38" s="67">
        <f>E29</f>
        <v>241</v>
      </c>
      <c r="F38" s="67" t="s">
        <v>23</v>
      </c>
      <c r="G38" s="67" t="s">
        <v>23</v>
      </c>
      <c r="H38" s="67" t="s">
        <v>23</v>
      </c>
      <c r="I38" s="45">
        <f>'пр к ПП4'!H15</f>
        <v>10600</v>
      </c>
      <c r="J38" s="45">
        <f>'пр к ПП4'!I15</f>
        <v>10600</v>
      </c>
      <c r="K38" s="45">
        <f>'пр к ПП4'!J15</f>
        <v>10600</v>
      </c>
      <c r="L38" s="45">
        <f>SUM(I38:K38)</f>
        <v>31800</v>
      </c>
    </row>
    <row r="39" spans="1:12" ht="47.25" x14ac:dyDescent="0.25">
      <c r="A39" s="193"/>
      <c r="B39" s="194"/>
      <c r="C39" s="194"/>
      <c r="D39" s="111" t="s">
        <v>80</v>
      </c>
      <c r="E39" s="110">
        <f>E30</f>
        <v>242</v>
      </c>
      <c r="F39" s="110" t="s">
        <v>23</v>
      </c>
      <c r="G39" s="110" t="s">
        <v>23</v>
      </c>
      <c r="H39" s="110" t="s">
        <v>23</v>
      </c>
      <c r="I39" s="45">
        <f>'пр к ПП4'!H17+'пр к ПП4'!H18</f>
        <v>2667.7740000000003</v>
      </c>
      <c r="J39" s="45">
        <f>'пр к ПП4'!I17+'пр к ПП4'!I18</f>
        <v>0</v>
      </c>
      <c r="K39" s="45">
        <f>'пр к ПП4'!J17+'пр к ПП4'!J18</f>
        <v>0</v>
      </c>
      <c r="L39" s="45">
        <f>SUM(I39:K39)</f>
        <v>2667.7740000000003</v>
      </c>
    </row>
    <row r="47" spans="1:12" x14ac:dyDescent="0.25">
      <c r="B47" s="1" t="s">
        <v>144</v>
      </c>
    </row>
    <row r="48" spans="1:12" x14ac:dyDescent="0.25">
      <c r="B48" s="1" t="s">
        <v>145</v>
      </c>
      <c r="I48" s="1" t="b">
        <f>I23='пр к ПП1'!H31</f>
        <v>1</v>
      </c>
      <c r="J48" s="1" t="b">
        <f>J23='пр к ПП1'!I31</f>
        <v>1</v>
      </c>
      <c r="K48" s="1" t="b">
        <f>K23='пр к ПП1'!J31</f>
        <v>1</v>
      </c>
      <c r="L48" s="1" t="b">
        <f>L23='пр к ПП1'!K31</f>
        <v>1</v>
      </c>
    </row>
    <row r="49" spans="2:12" x14ac:dyDescent="0.25">
      <c r="B49" s="1" t="s">
        <v>146</v>
      </c>
      <c r="I49" s="1" t="e">
        <f>I27=#REF!</f>
        <v>#REF!</v>
      </c>
      <c r="J49" s="1" t="e">
        <f>J27=#REF!</f>
        <v>#REF!</v>
      </c>
      <c r="K49" s="1" t="e">
        <f>K27=#REF!</f>
        <v>#REF!</v>
      </c>
      <c r="L49" s="1" t="e">
        <f>L27=#REF!</f>
        <v>#REF!</v>
      </c>
    </row>
    <row r="50" spans="2:12" x14ac:dyDescent="0.25">
      <c r="B50" s="1" t="s">
        <v>147</v>
      </c>
      <c r="I50" s="1" t="b">
        <f>I32='пр к ПП3'!H22</f>
        <v>1</v>
      </c>
      <c r="J50" s="1" t="b">
        <f>J32='пр к ПП3'!I22</f>
        <v>1</v>
      </c>
      <c r="K50" s="1" t="b">
        <f>K32='пр к ПП3'!J22</f>
        <v>1</v>
      </c>
      <c r="L50" s="1" t="b">
        <f>L32='пр к ПП3'!K22</f>
        <v>1</v>
      </c>
    </row>
    <row r="51" spans="2:12" x14ac:dyDescent="0.25">
      <c r="B51" s="1" t="s">
        <v>148</v>
      </c>
      <c r="I51" s="1" t="b">
        <f>I36='пр к ПП4'!H20</f>
        <v>1</v>
      </c>
      <c r="J51" s="1" t="b">
        <f>J36='пр к ПП4'!I20</f>
        <v>1</v>
      </c>
      <c r="K51" s="1" t="b">
        <f>K36='пр к ПП4'!J20</f>
        <v>1</v>
      </c>
      <c r="L51" s="1" t="b">
        <f>L36='пр к ПП4'!K20</f>
        <v>1</v>
      </c>
    </row>
    <row r="54" spans="2:12" x14ac:dyDescent="0.25">
      <c r="B54" s="1" t="s">
        <v>145</v>
      </c>
      <c r="I54" s="82">
        <f>I23-'пр к ПП1'!H31</f>
        <v>0</v>
      </c>
      <c r="J54" s="82">
        <f>J23-'пр к ПП1'!I31</f>
        <v>0</v>
      </c>
      <c r="K54" s="82">
        <f>K23-'пр к ПП1'!J31</f>
        <v>0</v>
      </c>
      <c r="L54" s="82">
        <f>L23-'пр к ПП1'!K31</f>
        <v>0</v>
      </c>
    </row>
    <row r="55" spans="2:12" x14ac:dyDescent="0.25">
      <c r="B55" s="1" t="s">
        <v>146</v>
      </c>
      <c r="I55" s="82" t="e">
        <f>I27-#REF!</f>
        <v>#REF!</v>
      </c>
      <c r="J55" s="82" t="e">
        <f>J27-#REF!</f>
        <v>#REF!</v>
      </c>
      <c r="K55" s="82" t="e">
        <f>K27-#REF!</f>
        <v>#REF!</v>
      </c>
      <c r="L55" s="82" t="e">
        <f>L27-#REF!</f>
        <v>#REF!</v>
      </c>
    </row>
    <row r="56" spans="2:12" x14ac:dyDescent="0.25">
      <c r="B56" s="1" t="s">
        <v>147</v>
      </c>
      <c r="I56" s="82">
        <f>I32-'пр к ПП3'!H22</f>
        <v>0</v>
      </c>
      <c r="J56" s="82">
        <f>J32-'пр к ПП3'!I22</f>
        <v>0</v>
      </c>
      <c r="K56" s="82">
        <f>K32-'пр к ПП3'!J22</f>
        <v>0</v>
      </c>
      <c r="L56" s="82">
        <f>L32-'пр к ПП3'!K22</f>
        <v>0</v>
      </c>
    </row>
    <row r="57" spans="2:12" x14ac:dyDescent="0.25">
      <c r="B57" s="1" t="s">
        <v>148</v>
      </c>
      <c r="I57" s="82">
        <f>I36-'пр к ПП4'!H20</f>
        <v>0</v>
      </c>
      <c r="J57" s="82">
        <f>J36-'пр к ПП4'!I20</f>
        <v>0</v>
      </c>
      <c r="K57" s="82">
        <f>K36-'пр к ПП4'!J20</f>
        <v>0</v>
      </c>
      <c r="L57" s="82">
        <f>L36-'пр к ПП4'!K20</f>
        <v>0</v>
      </c>
    </row>
  </sheetData>
  <mergeCells count="27">
    <mergeCell ref="J1:L1"/>
    <mergeCell ref="A36:A39"/>
    <mergeCell ref="B36:B39"/>
    <mergeCell ref="C36:C39"/>
    <mergeCell ref="J5:L5"/>
    <mergeCell ref="L14:L15"/>
    <mergeCell ref="A14:A15"/>
    <mergeCell ref="B14:B15"/>
    <mergeCell ref="C14:C15"/>
    <mergeCell ref="D14:D15"/>
    <mergeCell ref="E14:H14"/>
    <mergeCell ref="B17:B22"/>
    <mergeCell ref="C17:C22"/>
    <mergeCell ref="A23:A26"/>
    <mergeCell ref="B23:B26"/>
    <mergeCell ref="C23:C26"/>
    <mergeCell ref="A8:L8"/>
    <mergeCell ref="A32:A35"/>
    <mergeCell ref="B32:B35"/>
    <mergeCell ref="C32:C35"/>
    <mergeCell ref="A17:A22"/>
    <mergeCell ref="A9:L9"/>
    <mergeCell ref="A10:L10"/>
    <mergeCell ref="A11:L11"/>
    <mergeCell ref="A27:A31"/>
    <mergeCell ref="B27:B31"/>
    <mergeCell ref="C27:C31"/>
  </mergeCells>
  <pageMargins left="0.78740157480314965" right="0.78740157480314965" top="1.1811023622047245" bottom="0.17" header="0.31496062992125984" footer="0.31496062992125984"/>
  <pageSetup paperSize="9" scale="72" fitToHeight="0" orientation="landscape" r:id="rId1"/>
  <rowBreaks count="2" manualBreakCount="2">
    <brk id="22" max="11" man="1"/>
    <brk id="35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71"/>
  <sheetViews>
    <sheetView tabSelected="1" view="pageBreakPreview" topLeftCell="C1" zoomScale="70" zoomScaleNormal="70" zoomScaleSheetLayoutView="70" workbookViewId="0">
      <selection activeCell="U18" sqref="U18"/>
    </sheetView>
  </sheetViews>
  <sheetFormatPr defaultRowHeight="18.75" outlineLevelRow="1" outlineLevelCol="1" x14ac:dyDescent="0.3"/>
  <cols>
    <col min="1" max="1" width="5.375" style="15" customWidth="1"/>
    <col min="2" max="2" width="24.375" style="6" customWidth="1"/>
    <col min="3" max="3" width="25" style="6" customWidth="1"/>
    <col min="4" max="4" width="27.5" style="6" customWidth="1"/>
    <col min="5" max="5" width="17.25" style="36" hidden="1" customWidth="1" outlineLevel="1"/>
    <col min="6" max="8" width="14.25" style="36" hidden="1" customWidth="1" outlineLevel="1"/>
    <col min="9" max="9" width="14.625" style="36" hidden="1" customWidth="1" outlineLevel="1"/>
    <col min="10" max="10" width="16.125" style="6" customWidth="1" collapsed="1"/>
    <col min="11" max="12" width="15.625" style="6" customWidth="1"/>
    <col min="13" max="13" width="18.125" style="6" bestFit="1" customWidth="1"/>
    <col min="14" max="14" width="14.875" style="6" customWidth="1" outlineLevel="1"/>
    <col min="15" max="15" width="17.875" style="48" customWidth="1" outlineLevel="1"/>
    <col min="16" max="16" width="10.75" style="6" customWidth="1" outlineLevel="1"/>
    <col min="17" max="17" width="9" style="6"/>
    <col min="18" max="18" width="16.875" style="6" customWidth="1"/>
    <col min="19" max="16384" width="9" style="6"/>
  </cols>
  <sheetData>
    <row r="1" spans="1:13" ht="82.5" customHeight="1" outlineLevel="1" x14ac:dyDescent="0.3">
      <c r="J1" s="178" t="s">
        <v>181</v>
      </c>
      <c r="K1" s="178"/>
      <c r="L1" s="178"/>
      <c r="M1" s="178"/>
    </row>
    <row r="2" spans="1:13" outlineLevel="1" x14ac:dyDescent="0.3"/>
    <row r="3" spans="1:13" outlineLevel="1" x14ac:dyDescent="0.3"/>
    <row r="4" spans="1:13" x14ac:dyDescent="0.3">
      <c r="J4" s="12" t="s">
        <v>117</v>
      </c>
    </row>
    <row r="5" spans="1:13" ht="61.5" customHeight="1" x14ac:dyDescent="0.3">
      <c r="J5" s="162" t="str">
        <f>CONCATENATE("к муниципальной программе Туруханского района """,'пр 6 к МП'!C17,"""")</f>
        <v>к муниципальной программе Туруханского района "Развитие транспортной системы и связи Туруханского района"</v>
      </c>
      <c r="K5" s="162"/>
      <c r="L5" s="162"/>
      <c r="M5" s="162"/>
    </row>
    <row r="6" spans="1:13" x14ac:dyDescent="0.3">
      <c r="A6" s="13"/>
    </row>
    <row r="7" spans="1:13" x14ac:dyDescent="0.3">
      <c r="A7" s="13"/>
    </row>
    <row r="8" spans="1:13" x14ac:dyDescent="0.3">
      <c r="A8" s="165" t="s">
        <v>0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</row>
    <row r="9" spans="1:13" x14ac:dyDescent="0.3">
      <c r="A9" s="165" t="s">
        <v>34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</row>
    <row r="10" spans="1:13" x14ac:dyDescent="0.3">
      <c r="A10" s="165" t="s">
        <v>35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</row>
    <row r="11" spans="1:13" x14ac:dyDescent="0.3">
      <c r="A11" s="165" t="s">
        <v>36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</row>
    <row r="12" spans="1:13" x14ac:dyDescent="0.3">
      <c r="A12" s="165" t="s">
        <v>37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</row>
    <row r="13" spans="1:13" x14ac:dyDescent="0.3">
      <c r="A13" s="165" t="s">
        <v>38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</row>
    <row r="14" spans="1:13" x14ac:dyDescent="0.3">
      <c r="A14" s="13"/>
    </row>
    <row r="15" spans="1:13" x14ac:dyDescent="0.3">
      <c r="M15" s="5" t="s">
        <v>132</v>
      </c>
    </row>
    <row r="16" spans="1:13" ht="27.75" customHeight="1" x14ac:dyDescent="0.3">
      <c r="A16" s="155" t="s">
        <v>12</v>
      </c>
      <c r="B16" s="196" t="s">
        <v>26</v>
      </c>
      <c r="C16" s="196" t="s">
        <v>27</v>
      </c>
      <c r="D16" s="155" t="s">
        <v>31</v>
      </c>
      <c r="E16" s="32">
        <v>2014</v>
      </c>
      <c r="F16" s="32">
        <v>2015</v>
      </c>
      <c r="G16" s="32">
        <v>2016</v>
      </c>
      <c r="H16" s="32">
        <v>2017</v>
      </c>
      <c r="I16" s="32" t="s">
        <v>47</v>
      </c>
      <c r="J16" s="100" t="s">
        <v>48</v>
      </c>
      <c r="K16" s="100" t="s">
        <v>51</v>
      </c>
      <c r="L16" s="122" t="s">
        <v>161</v>
      </c>
      <c r="M16" s="196" t="s">
        <v>17</v>
      </c>
    </row>
    <row r="17" spans="1:18" x14ac:dyDescent="0.3">
      <c r="A17" s="155"/>
      <c r="B17" s="196"/>
      <c r="C17" s="196"/>
      <c r="D17" s="155"/>
      <c r="E17" s="32"/>
      <c r="F17" s="32"/>
      <c r="G17" s="32"/>
      <c r="H17" s="32"/>
      <c r="I17" s="32"/>
      <c r="J17" s="61" t="s">
        <v>22</v>
      </c>
      <c r="K17" s="61" t="s">
        <v>22</v>
      </c>
      <c r="L17" s="122" t="s">
        <v>22</v>
      </c>
      <c r="M17" s="196"/>
    </row>
    <row r="18" spans="1:18" x14ac:dyDescent="0.3">
      <c r="A18" s="95">
        <v>1</v>
      </c>
      <c r="B18" s="95">
        <v>2</v>
      </c>
      <c r="C18" s="95">
        <v>3</v>
      </c>
      <c r="D18" s="95">
        <v>4</v>
      </c>
      <c r="E18" s="32"/>
      <c r="F18" s="32"/>
      <c r="G18" s="32"/>
      <c r="H18" s="32"/>
      <c r="I18" s="32">
        <v>5</v>
      </c>
      <c r="J18" s="95">
        <v>6</v>
      </c>
      <c r="K18" s="95">
        <v>7</v>
      </c>
      <c r="L18" s="122">
        <v>7</v>
      </c>
      <c r="M18" s="95">
        <v>8</v>
      </c>
    </row>
    <row r="19" spans="1:18" x14ac:dyDescent="0.3">
      <c r="A19" s="193">
        <v>1</v>
      </c>
      <c r="B19" s="199" t="s">
        <v>32</v>
      </c>
      <c r="C19" s="199" t="str">
        <f>'пр 6 к МП'!C17</f>
        <v>Развитие транспортной системы и связи Туруханского района</v>
      </c>
      <c r="D19" s="105" t="s">
        <v>30</v>
      </c>
      <c r="E19" s="49">
        <f t="shared" ref="E19:F19" si="0">E26+E33+E40+E47</f>
        <v>165376.84903000001</v>
      </c>
      <c r="F19" s="49">
        <f t="shared" si="0"/>
        <v>132504.82329</v>
      </c>
      <c r="G19" s="49">
        <f>G26+G33+G40+G47</f>
        <v>168993.47096999999</v>
      </c>
      <c r="H19" s="49">
        <f>H26+H33+H40+H47</f>
        <v>155455.69513999997</v>
      </c>
      <c r="I19" s="49">
        <f>I26+I33+I40+I47</f>
        <v>165993.04453999997</v>
      </c>
      <c r="J19" s="50" t="e">
        <f t="shared" ref="J19" si="1">J26+J33+J40+J47</f>
        <v>#REF!</v>
      </c>
      <c r="K19" s="50" t="e">
        <f t="shared" ref="K19:L19" si="2">K26+K33+K40+K47</f>
        <v>#REF!</v>
      </c>
      <c r="L19" s="50" t="e">
        <f t="shared" si="2"/>
        <v>#REF!</v>
      </c>
      <c r="M19" s="50" t="e">
        <f>SUM(J19:L19)</f>
        <v>#REF!</v>
      </c>
      <c r="N19" s="51" t="e">
        <f>M19-'пр 6 к МП'!L17</f>
        <v>#REF!</v>
      </c>
      <c r="O19" s="52" t="e">
        <f>SUM(E19:L19)</f>
        <v>#REF!</v>
      </c>
      <c r="P19" s="6" t="e">
        <f>SUM(O21:O25)=O19</f>
        <v>#REF!</v>
      </c>
      <c r="R19" s="138"/>
    </row>
    <row r="20" spans="1:18" x14ac:dyDescent="0.3">
      <c r="A20" s="193"/>
      <c r="B20" s="199"/>
      <c r="C20" s="199"/>
      <c r="D20" s="96" t="s">
        <v>13</v>
      </c>
      <c r="E20" s="53"/>
      <c r="F20" s="53"/>
      <c r="G20" s="53"/>
      <c r="H20" s="53"/>
      <c r="I20" s="53"/>
      <c r="J20" s="54"/>
      <c r="K20" s="54"/>
      <c r="L20" s="54"/>
      <c r="M20" s="54"/>
      <c r="N20" s="51"/>
      <c r="O20" s="52"/>
      <c r="R20" s="139"/>
    </row>
    <row r="21" spans="1:18" x14ac:dyDescent="0.3">
      <c r="A21" s="193"/>
      <c r="B21" s="199"/>
      <c r="C21" s="199"/>
      <c r="D21" s="7" t="s">
        <v>83</v>
      </c>
      <c r="E21" s="53">
        <f t="shared" ref="E21:I21" si="3">E28+E35+E42+E49</f>
        <v>0</v>
      </c>
      <c r="F21" s="53">
        <f t="shared" si="3"/>
        <v>0</v>
      </c>
      <c r="G21" s="53">
        <f t="shared" si="3"/>
        <v>0</v>
      </c>
      <c r="H21" s="53">
        <f t="shared" ref="H21" si="4">H28+H35+H42+H49</f>
        <v>0</v>
      </c>
      <c r="I21" s="53">
        <f t="shared" si="3"/>
        <v>0</v>
      </c>
      <c r="J21" s="54">
        <f t="shared" ref="J21" si="5">J28+J35+J42+J49</f>
        <v>0</v>
      </c>
      <c r="K21" s="54">
        <f t="shared" ref="K21:L21" si="6">K28+K35+K42+K49</f>
        <v>0</v>
      </c>
      <c r="L21" s="54">
        <f t="shared" si="6"/>
        <v>0</v>
      </c>
      <c r="M21" s="54">
        <f t="shared" ref="M21:M26" si="7">SUM(J21:L21)</f>
        <v>0</v>
      </c>
      <c r="N21" s="51"/>
      <c r="O21" s="52">
        <f t="shared" ref="O21:O53" si="8">SUM(E21:L21)</f>
        <v>0</v>
      </c>
    </row>
    <row r="22" spans="1:18" x14ac:dyDescent="0.3">
      <c r="A22" s="193"/>
      <c r="B22" s="199"/>
      <c r="C22" s="199"/>
      <c r="D22" s="96" t="s">
        <v>84</v>
      </c>
      <c r="E22" s="53">
        <f>E29+E36+E43+E50</f>
        <v>33226.424510000004</v>
      </c>
      <c r="F22" s="53">
        <f t="shared" ref="F22:G22" si="9">F29+F36+F43+F50</f>
        <v>33544.400000000001</v>
      </c>
      <c r="G22" s="53">
        <f t="shared" si="9"/>
        <v>55791.640999999996</v>
      </c>
      <c r="H22" s="53">
        <f t="shared" ref="H22" si="10">H29+H36+H43+H50</f>
        <v>50192.994449999998</v>
      </c>
      <c r="I22" s="53">
        <f>I29+I36+I43+I50</f>
        <v>43661.469730000004</v>
      </c>
      <c r="J22" s="54">
        <f t="shared" ref="J22" si="11">J29+J36+J43+J50</f>
        <v>60781.301000000007</v>
      </c>
      <c r="K22" s="54">
        <f t="shared" ref="K22:L22" si="12">K29+K36+K43+K50</f>
        <v>41393.300000000003</v>
      </c>
      <c r="L22" s="54">
        <f t="shared" si="12"/>
        <v>42461.8</v>
      </c>
      <c r="M22" s="54">
        <f t="shared" si="7"/>
        <v>144636.40100000001</v>
      </c>
      <c r="N22" s="51"/>
      <c r="O22" s="52">
        <f t="shared" si="8"/>
        <v>361053.33068999997</v>
      </c>
    </row>
    <row r="23" spans="1:18" x14ac:dyDescent="0.3">
      <c r="A23" s="193"/>
      <c r="B23" s="199"/>
      <c r="C23" s="199"/>
      <c r="D23" s="96" t="s">
        <v>33</v>
      </c>
      <c r="E23" s="53">
        <f>E30+E37+E44+E51</f>
        <v>132150.42452</v>
      </c>
      <c r="F23" s="53">
        <f t="shared" ref="F23:G23" si="13">F30+F37+F44+F51</f>
        <v>98960.423290000006</v>
      </c>
      <c r="G23" s="53">
        <f t="shared" si="13"/>
        <v>113001.82996999999</v>
      </c>
      <c r="H23" s="53">
        <f t="shared" ref="H23" si="14">H30+H37+H44+H51</f>
        <v>105262.70068999998</v>
      </c>
      <c r="I23" s="53">
        <f>I30+I37+I44+I51</f>
        <v>122331.57480999999</v>
      </c>
      <c r="J23" s="54" t="e">
        <f t="shared" ref="J23" si="15">J30+J37+J44+J51</f>
        <v>#REF!</v>
      </c>
      <c r="K23" s="54" t="e">
        <f t="shared" ref="K23:L23" si="16">K30+K37+K44+K51</f>
        <v>#REF!</v>
      </c>
      <c r="L23" s="54" t="e">
        <f t="shared" si="16"/>
        <v>#REF!</v>
      </c>
      <c r="M23" s="54" t="e">
        <f t="shared" si="7"/>
        <v>#REF!</v>
      </c>
      <c r="N23" s="51"/>
      <c r="O23" s="52" t="e">
        <f t="shared" si="8"/>
        <v>#REF!</v>
      </c>
    </row>
    <row r="24" spans="1:18" ht="48" x14ac:dyDescent="0.3">
      <c r="A24" s="193"/>
      <c r="B24" s="199"/>
      <c r="C24" s="199"/>
      <c r="D24" s="8" t="s">
        <v>85</v>
      </c>
      <c r="E24" s="53">
        <f t="shared" ref="E24:G24" si="17">E31+E38+E45+E52</f>
        <v>0</v>
      </c>
      <c r="F24" s="53">
        <f t="shared" si="17"/>
        <v>0</v>
      </c>
      <c r="G24" s="53">
        <f t="shared" si="17"/>
        <v>0</v>
      </c>
      <c r="H24" s="53">
        <f t="shared" ref="H24" si="18">H31+H38+H45+H52</f>
        <v>0</v>
      </c>
      <c r="I24" s="53">
        <f t="shared" ref="I24:J24" si="19">I31+I38+I45+I52</f>
        <v>0</v>
      </c>
      <c r="J24" s="54">
        <f t="shared" si="19"/>
        <v>0</v>
      </c>
      <c r="K24" s="54">
        <f t="shared" ref="K24:L24" si="20">K31+K38+K45+K52</f>
        <v>0</v>
      </c>
      <c r="L24" s="54">
        <f t="shared" si="20"/>
        <v>0</v>
      </c>
      <c r="M24" s="54">
        <f t="shared" si="7"/>
        <v>0</v>
      </c>
      <c r="N24" s="51"/>
      <c r="O24" s="52">
        <f t="shared" si="8"/>
        <v>0</v>
      </c>
    </row>
    <row r="25" spans="1:18" ht="19.5" thickBot="1" x14ac:dyDescent="0.35">
      <c r="A25" s="193"/>
      <c r="B25" s="199"/>
      <c r="C25" s="199"/>
      <c r="D25" s="96" t="s">
        <v>14</v>
      </c>
      <c r="E25" s="53">
        <f t="shared" ref="E25:G25" si="21">E32+E39+E46+E53</f>
        <v>0</v>
      </c>
      <c r="F25" s="53">
        <f t="shared" si="21"/>
        <v>0</v>
      </c>
      <c r="G25" s="53">
        <f t="shared" si="21"/>
        <v>200</v>
      </c>
      <c r="H25" s="53">
        <f t="shared" ref="H25" si="22">H32+H39+H46+H53</f>
        <v>0</v>
      </c>
      <c r="I25" s="53">
        <f t="shared" ref="I25:J25" si="23">I32+I39+I46+I53</f>
        <v>0</v>
      </c>
      <c r="J25" s="54">
        <f t="shared" si="23"/>
        <v>0</v>
      </c>
      <c r="K25" s="54">
        <f t="shared" ref="K25:L25" si="24">K32+K39+K46+K53</f>
        <v>0</v>
      </c>
      <c r="L25" s="54">
        <f t="shared" si="24"/>
        <v>0</v>
      </c>
      <c r="M25" s="54">
        <f t="shared" si="7"/>
        <v>0</v>
      </c>
      <c r="N25" s="51"/>
      <c r="O25" s="52">
        <f t="shared" si="8"/>
        <v>200</v>
      </c>
    </row>
    <row r="26" spans="1:18" s="87" customFormat="1" x14ac:dyDescent="0.3">
      <c r="A26" s="193" t="s">
        <v>3</v>
      </c>
      <c r="B26" s="199" t="s">
        <v>11</v>
      </c>
      <c r="C26" s="199" t="str">
        <f>'пр 6 к МП'!C23</f>
        <v>Развитие транспортного комплекса, обеспечение сохранности и модернизации автомобильных дорог Туруханского района</v>
      </c>
      <c r="D26" s="105" t="s">
        <v>30</v>
      </c>
      <c r="E26" s="49">
        <f>SUM(E28:E32)</f>
        <v>38654.857510000002</v>
      </c>
      <c r="F26" s="49">
        <f t="shared" ref="F26:H26" si="25">SUM(F28:F32)</f>
        <v>38642.90999</v>
      </c>
      <c r="G26" s="49">
        <f t="shared" si="25"/>
        <v>64679.243999999999</v>
      </c>
      <c r="H26" s="49">
        <f t="shared" si="25"/>
        <v>51991.447849999997</v>
      </c>
      <c r="I26" s="49">
        <f>SUM(I28:I32)</f>
        <v>46554.788160000011</v>
      </c>
      <c r="J26" s="50">
        <f t="shared" ref="J26" si="26">SUM(J28:J32)</f>
        <v>78285.684999999998</v>
      </c>
      <c r="K26" s="50">
        <f t="shared" ref="K26:L26" si="27">SUM(K28:K32)</f>
        <v>49282.885000000002</v>
      </c>
      <c r="L26" s="50">
        <f t="shared" si="27"/>
        <v>50351.385000000002</v>
      </c>
      <c r="M26" s="50">
        <f t="shared" si="7"/>
        <v>177919.95500000002</v>
      </c>
      <c r="N26" s="85">
        <f>M26-'пр 6 к МП'!L23</f>
        <v>0</v>
      </c>
      <c r="O26" s="86">
        <f t="shared" si="8"/>
        <v>418443.20251000003</v>
      </c>
      <c r="P26" s="87" t="b">
        <f>SUM(O28:O32)=O26</f>
        <v>1</v>
      </c>
    </row>
    <row r="27" spans="1:18" s="90" customFormat="1" x14ac:dyDescent="0.3">
      <c r="A27" s="193"/>
      <c r="B27" s="199"/>
      <c r="C27" s="199"/>
      <c r="D27" s="96" t="s">
        <v>13</v>
      </c>
      <c r="E27" s="55"/>
      <c r="F27" s="55"/>
      <c r="G27" s="55"/>
      <c r="H27" s="55"/>
      <c r="I27" s="53"/>
      <c r="J27" s="54"/>
      <c r="K27" s="54"/>
      <c r="L27" s="54"/>
      <c r="M27" s="54"/>
      <c r="N27" s="88"/>
      <c r="O27" s="89">
        <f t="shared" si="8"/>
        <v>0</v>
      </c>
    </row>
    <row r="28" spans="1:18" s="90" customFormat="1" x14ac:dyDescent="0.3">
      <c r="A28" s="193"/>
      <c r="B28" s="199"/>
      <c r="C28" s="199"/>
      <c r="D28" s="7" t="s">
        <v>83</v>
      </c>
      <c r="E28" s="55"/>
      <c r="F28" s="55"/>
      <c r="G28" s="55"/>
      <c r="H28" s="55"/>
      <c r="I28" s="53"/>
      <c r="J28" s="54"/>
      <c r="K28" s="54"/>
      <c r="L28" s="54"/>
      <c r="M28" s="54">
        <f t="shared" ref="M28:M33" si="28">SUM(J28:L28)</f>
        <v>0</v>
      </c>
      <c r="N28" s="88"/>
      <c r="O28" s="89">
        <f t="shared" si="8"/>
        <v>0</v>
      </c>
    </row>
    <row r="29" spans="1:18" s="90" customFormat="1" x14ac:dyDescent="0.3">
      <c r="A29" s="193"/>
      <c r="B29" s="199"/>
      <c r="C29" s="199"/>
      <c r="D29" s="96" t="s">
        <v>84</v>
      </c>
      <c r="E29" s="55">
        <v>33203.024510000003</v>
      </c>
      <c r="F29" s="55">
        <v>33544.400000000001</v>
      </c>
      <c r="G29" s="55">
        <v>55649.004999999997</v>
      </c>
      <c r="H29" s="55">
        <v>47780.994449999998</v>
      </c>
      <c r="I29" s="53">
        <v>40519.269730000007</v>
      </c>
      <c r="J29" s="54">
        <f>'пр к ПП1'!H15+'пр к ПП1'!H17+'пр к ПП1'!H24</f>
        <v>57906.3</v>
      </c>
      <c r="K29" s="54">
        <f>'пр к ПП1'!I15+'пр к ПП1'!I17+'пр к ПП1'!I24</f>
        <v>41393.300000000003</v>
      </c>
      <c r="L29" s="54">
        <f>'пр к ПП1'!J15+'пр к ПП1'!J17+'пр к ПП1'!J24</f>
        <v>42461.8</v>
      </c>
      <c r="M29" s="54">
        <f t="shared" si="28"/>
        <v>141761.40000000002</v>
      </c>
      <c r="N29" s="88"/>
      <c r="O29" s="89">
        <f t="shared" si="8"/>
        <v>352458.09369000001</v>
      </c>
    </row>
    <row r="30" spans="1:18" s="90" customFormat="1" x14ac:dyDescent="0.3">
      <c r="A30" s="193"/>
      <c r="B30" s="199"/>
      <c r="C30" s="199"/>
      <c r="D30" s="96" t="s">
        <v>33</v>
      </c>
      <c r="E30" s="55">
        <v>5451.8330000000005</v>
      </c>
      <c r="F30" s="55">
        <v>5098.5099900000005</v>
      </c>
      <c r="G30" s="55">
        <v>8830.2389999999996</v>
      </c>
      <c r="H30" s="55">
        <v>4210.4534000000003</v>
      </c>
      <c r="I30" s="53">
        <v>6035.5184300000001</v>
      </c>
      <c r="J30" s="54">
        <f>'пр к ПП1'!H20+'пр к ПП1'!H19+'пр к ПП1'!H22+'пр к ПП1'!H25+'пр к ПП1'!H27</f>
        <v>20379.385000000002</v>
      </c>
      <c r="K30" s="54">
        <f>'пр к ПП1'!I20+'пр к ПП1'!I19+'пр к ПП1'!I22+'пр к ПП1'!I25+'пр к ПП1'!I27</f>
        <v>7889.585</v>
      </c>
      <c r="L30" s="54">
        <f>'пр к ПП1'!J20+'пр к ПП1'!J19+'пр к ПП1'!J22+'пр к ПП1'!J25+'пр к ПП1'!J27</f>
        <v>7889.585</v>
      </c>
      <c r="M30" s="54">
        <f t="shared" si="28"/>
        <v>36158.555</v>
      </c>
      <c r="N30" s="88"/>
      <c r="O30" s="89">
        <f t="shared" si="8"/>
        <v>65785.108819999994</v>
      </c>
    </row>
    <row r="31" spans="1:18" s="90" customFormat="1" ht="48" x14ac:dyDescent="0.3">
      <c r="A31" s="193"/>
      <c r="B31" s="199"/>
      <c r="C31" s="199"/>
      <c r="D31" s="8" t="s">
        <v>85</v>
      </c>
      <c r="E31" s="56"/>
      <c r="F31" s="56">
        <v>0</v>
      </c>
      <c r="G31" s="56"/>
      <c r="H31" s="56"/>
      <c r="I31" s="53"/>
      <c r="J31" s="54"/>
      <c r="K31" s="54"/>
      <c r="L31" s="54"/>
      <c r="M31" s="54">
        <f t="shared" si="28"/>
        <v>0</v>
      </c>
      <c r="N31" s="88"/>
      <c r="O31" s="89">
        <f t="shared" si="8"/>
        <v>0</v>
      </c>
    </row>
    <row r="32" spans="1:18" s="93" customFormat="1" ht="19.5" thickBot="1" x14ac:dyDescent="0.35">
      <c r="A32" s="193"/>
      <c r="B32" s="199"/>
      <c r="C32" s="199"/>
      <c r="D32" s="96" t="s">
        <v>14</v>
      </c>
      <c r="E32" s="55"/>
      <c r="F32" s="55"/>
      <c r="G32" s="55">
        <v>200</v>
      </c>
      <c r="H32" s="55"/>
      <c r="I32" s="53"/>
      <c r="J32" s="54"/>
      <c r="K32" s="54"/>
      <c r="L32" s="54"/>
      <c r="M32" s="54">
        <f t="shared" si="28"/>
        <v>0</v>
      </c>
      <c r="N32" s="91"/>
      <c r="O32" s="92">
        <f t="shared" si="8"/>
        <v>200</v>
      </c>
    </row>
    <row r="33" spans="1:16" s="87" customFormat="1" x14ac:dyDescent="0.3">
      <c r="A33" s="193" t="s">
        <v>70</v>
      </c>
      <c r="B33" s="199" t="s">
        <v>77</v>
      </c>
      <c r="C33" s="199" t="str">
        <f>'пр 6 к МП'!C27</f>
        <v>Организация транспортного обслуживания  на территории Туруханского района</v>
      </c>
      <c r="D33" s="105" t="s">
        <v>30</v>
      </c>
      <c r="E33" s="49">
        <f t="shared" ref="E33:H33" si="29">SUM(E35:E39)</f>
        <v>119174.72440000001</v>
      </c>
      <c r="F33" s="49">
        <f t="shared" si="29"/>
        <v>81921.9133</v>
      </c>
      <c r="G33" s="49">
        <f t="shared" si="29"/>
        <v>94460.706969999999</v>
      </c>
      <c r="H33" s="49">
        <f t="shared" si="29"/>
        <v>91047.031289999984</v>
      </c>
      <c r="I33" s="49">
        <f>SUM(I35:I39)</f>
        <v>106290.91970999999</v>
      </c>
      <c r="J33" s="50" t="e">
        <f t="shared" ref="J33" si="30">SUM(J35:J39)</f>
        <v>#REF!</v>
      </c>
      <c r="K33" s="50" t="e">
        <f t="shared" ref="K33:L33" si="31">SUM(K35:K39)</f>
        <v>#REF!</v>
      </c>
      <c r="L33" s="50" t="e">
        <f t="shared" si="31"/>
        <v>#REF!</v>
      </c>
      <c r="M33" s="50" t="e">
        <f t="shared" si="28"/>
        <v>#REF!</v>
      </c>
      <c r="N33" s="85" t="e">
        <f>M33-'пр 6 к МП'!L27</f>
        <v>#REF!</v>
      </c>
      <c r="O33" s="86" t="e">
        <f t="shared" si="8"/>
        <v>#REF!</v>
      </c>
      <c r="P33" s="87" t="e">
        <f>SUM(O35:O39)=O33</f>
        <v>#REF!</v>
      </c>
    </row>
    <row r="34" spans="1:16" s="90" customFormat="1" x14ac:dyDescent="0.3">
      <c r="A34" s="193"/>
      <c r="B34" s="199"/>
      <c r="C34" s="199"/>
      <c r="D34" s="96" t="s">
        <v>13</v>
      </c>
      <c r="E34" s="55"/>
      <c r="F34" s="55"/>
      <c r="G34" s="55"/>
      <c r="H34" s="55"/>
      <c r="I34" s="53"/>
      <c r="J34" s="54"/>
      <c r="K34" s="54"/>
      <c r="L34" s="54"/>
      <c r="M34" s="54"/>
      <c r="N34" s="88"/>
      <c r="O34" s="89">
        <f t="shared" si="8"/>
        <v>0</v>
      </c>
    </row>
    <row r="35" spans="1:16" s="90" customFormat="1" x14ac:dyDescent="0.3">
      <c r="A35" s="193"/>
      <c r="B35" s="199"/>
      <c r="C35" s="199"/>
      <c r="D35" s="7" t="s">
        <v>83</v>
      </c>
      <c r="E35" s="55"/>
      <c r="F35" s="55"/>
      <c r="G35" s="55"/>
      <c r="H35" s="55"/>
      <c r="I35" s="53"/>
      <c r="J35" s="54"/>
      <c r="K35" s="54"/>
      <c r="L35" s="54"/>
      <c r="M35" s="54">
        <f t="shared" ref="M35:M40" si="32">SUM(J35:L35)</f>
        <v>0</v>
      </c>
      <c r="N35" s="88"/>
      <c r="O35" s="89">
        <f t="shared" si="8"/>
        <v>0</v>
      </c>
    </row>
    <row r="36" spans="1:16" s="90" customFormat="1" x14ac:dyDescent="0.3">
      <c r="A36" s="193"/>
      <c r="B36" s="199"/>
      <c r="C36" s="199"/>
      <c r="D36" s="96" t="s">
        <v>84</v>
      </c>
      <c r="E36" s="55"/>
      <c r="F36" s="55"/>
      <c r="G36" s="55"/>
      <c r="H36" s="55"/>
      <c r="I36" s="53"/>
      <c r="J36" s="54"/>
      <c r="K36" s="54"/>
      <c r="L36" s="54"/>
      <c r="M36" s="54">
        <f t="shared" si="32"/>
        <v>0</v>
      </c>
      <c r="N36" s="88"/>
      <c r="O36" s="89">
        <f t="shared" si="8"/>
        <v>0</v>
      </c>
    </row>
    <row r="37" spans="1:16" s="90" customFormat="1" x14ac:dyDescent="0.3">
      <c r="A37" s="193"/>
      <c r="B37" s="199"/>
      <c r="C37" s="199"/>
      <c r="D37" s="96" t="s">
        <v>33</v>
      </c>
      <c r="E37" s="55">
        <v>119174.72440000001</v>
      </c>
      <c r="F37" s="55">
        <v>81921.9133</v>
      </c>
      <c r="G37" s="55">
        <v>94460.706969999999</v>
      </c>
      <c r="H37" s="55">
        <v>91047.031289999984</v>
      </c>
      <c r="I37" s="53">
        <v>106290.91970999999</v>
      </c>
      <c r="J37" s="54" t="e">
        <f>#REF!+#REF!+#REF!</f>
        <v>#REF!</v>
      </c>
      <c r="K37" s="54" t="e">
        <f>#REF!+#REF!+#REF!</f>
        <v>#REF!</v>
      </c>
      <c r="L37" s="54" t="e">
        <f>#REF!+#REF!+#REF!</f>
        <v>#REF!</v>
      </c>
      <c r="M37" s="54" t="e">
        <f t="shared" si="32"/>
        <v>#REF!</v>
      </c>
      <c r="N37" s="88"/>
      <c r="O37" s="89" t="e">
        <f t="shared" si="8"/>
        <v>#REF!</v>
      </c>
    </row>
    <row r="38" spans="1:16" s="90" customFormat="1" ht="48" x14ac:dyDescent="0.3">
      <c r="A38" s="193"/>
      <c r="B38" s="199"/>
      <c r="C38" s="199"/>
      <c r="D38" s="8" t="s">
        <v>85</v>
      </c>
      <c r="E38" s="56"/>
      <c r="F38" s="56"/>
      <c r="G38" s="56"/>
      <c r="H38" s="56"/>
      <c r="I38" s="53"/>
      <c r="J38" s="54"/>
      <c r="K38" s="54"/>
      <c r="L38" s="54"/>
      <c r="M38" s="54">
        <f t="shared" si="32"/>
        <v>0</v>
      </c>
      <c r="N38" s="88"/>
      <c r="O38" s="89">
        <f t="shared" si="8"/>
        <v>0</v>
      </c>
    </row>
    <row r="39" spans="1:16" s="93" customFormat="1" ht="19.5" thickBot="1" x14ac:dyDescent="0.35">
      <c r="A39" s="193"/>
      <c r="B39" s="199"/>
      <c r="C39" s="199"/>
      <c r="D39" s="96" t="s">
        <v>14</v>
      </c>
      <c r="E39" s="55"/>
      <c r="F39" s="55"/>
      <c r="G39" s="55"/>
      <c r="H39" s="55"/>
      <c r="I39" s="53"/>
      <c r="J39" s="54"/>
      <c r="K39" s="54"/>
      <c r="L39" s="54"/>
      <c r="M39" s="54">
        <f t="shared" si="32"/>
        <v>0</v>
      </c>
      <c r="N39" s="91"/>
      <c r="O39" s="92">
        <f t="shared" si="8"/>
        <v>0</v>
      </c>
    </row>
    <row r="40" spans="1:16" s="87" customFormat="1" x14ac:dyDescent="0.3">
      <c r="A40" s="193" t="s">
        <v>72</v>
      </c>
      <c r="B40" s="199" t="s">
        <v>78</v>
      </c>
      <c r="C40" s="199" t="str">
        <f>'пр 6 к МП'!C32</f>
        <v>Безопасность дорожного движения в Туруханском районе</v>
      </c>
      <c r="D40" s="105" t="s">
        <v>30</v>
      </c>
      <c r="E40" s="49">
        <f t="shared" ref="E40:H40" si="33">SUM(E42:E46)</f>
        <v>23.4</v>
      </c>
      <c r="F40" s="49">
        <f t="shared" si="33"/>
        <v>0</v>
      </c>
      <c r="G40" s="49">
        <f t="shared" si="33"/>
        <v>463.12</v>
      </c>
      <c r="H40" s="49">
        <f t="shared" si="33"/>
        <v>152.5</v>
      </c>
      <c r="I40" s="49">
        <f>SUM(I42:I46)</f>
        <v>80</v>
      </c>
      <c r="J40" s="50">
        <f t="shared" ref="J40" si="34">SUM(J42:J46)</f>
        <v>220.5</v>
      </c>
      <c r="K40" s="50">
        <f t="shared" ref="K40:L40" si="35">SUM(K42:K46)</f>
        <v>0</v>
      </c>
      <c r="L40" s="50">
        <f t="shared" si="35"/>
        <v>0</v>
      </c>
      <c r="M40" s="50">
        <f t="shared" si="32"/>
        <v>220.5</v>
      </c>
      <c r="N40" s="94">
        <f>M40-'пр 6 к МП'!L32</f>
        <v>0</v>
      </c>
      <c r="O40" s="86">
        <f t="shared" si="8"/>
        <v>939.52</v>
      </c>
      <c r="P40" s="87" t="b">
        <f>SUM(O42:O46)=O40</f>
        <v>1</v>
      </c>
    </row>
    <row r="41" spans="1:16" s="90" customFormat="1" x14ac:dyDescent="0.3">
      <c r="A41" s="193"/>
      <c r="B41" s="199"/>
      <c r="C41" s="199"/>
      <c r="D41" s="96" t="s">
        <v>13</v>
      </c>
      <c r="E41" s="55"/>
      <c r="F41" s="55"/>
      <c r="G41" s="55"/>
      <c r="H41" s="55"/>
      <c r="I41" s="53"/>
      <c r="J41" s="54"/>
      <c r="K41" s="54"/>
      <c r="L41" s="54"/>
      <c r="M41" s="54"/>
      <c r="N41" s="88"/>
      <c r="O41" s="89">
        <f t="shared" si="8"/>
        <v>0</v>
      </c>
    </row>
    <row r="42" spans="1:16" s="90" customFormat="1" x14ac:dyDescent="0.3">
      <c r="A42" s="193"/>
      <c r="B42" s="199"/>
      <c r="C42" s="199"/>
      <c r="D42" s="7" t="s">
        <v>83</v>
      </c>
      <c r="E42" s="55"/>
      <c r="F42" s="55"/>
      <c r="G42" s="55"/>
      <c r="H42" s="55"/>
      <c r="I42" s="53"/>
      <c r="J42" s="54"/>
      <c r="K42" s="54"/>
      <c r="L42" s="54"/>
      <c r="M42" s="54">
        <f t="shared" ref="M42:M47" si="36">SUM(J42:L42)</f>
        <v>0</v>
      </c>
      <c r="N42" s="88"/>
      <c r="O42" s="89">
        <f t="shared" si="8"/>
        <v>0</v>
      </c>
    </row>
    <row r="43" spans="1:16" s="90" customFormat="1" x14ac:dyDescent="0.3">
      <c r="A43" s="193"/>
      <c r="B43" s="199"/>
      <c r="C43" s="199"/>
      <c r="D43" s="96" t="s">
        <v>84</v>
      </c>
      <c r="E43" s="55">
        <v>23.4</v>
      </c>
      <c r="F43" s="55">
        <v>0</v>
      </c>
      <c r="G43" s="55">
        <v>142.636</v>
      </c>
      <c r="H43" s="55">
        <v>152</v>
      </c>
      <c r="I43" s="53">
        <v>80</v>
      </c>
      <c r="J43" s="54">
        <f>'пр к ПП3'!H18+'пр к ПП3'!H15</f>
        <v>220.5</v>
      </c>
      <c r="K43" s="54">
        <f>'пр к ПП3'!I18+'пр к ПП3'!I15</f>
        <v>0</v>
      </c>
      <c r="L43" s="54">
        <f>'пр к ПП3'!J18+'пр к ПП3'!J15</f>
        <v>0</v>
      </c>
      <c r="M43" s="54">
        <f t="shared" si="36"/>
        <v>220.5</v>
      </c>
      <c r="N43" s="88"/>
      <c r="O43" s="89">
        <f t="shared" si="8"/>
        <v>618.53600000000006</v>
      </c>
    </row>
    <row r="44" spans="1:16" s="90" customFormat="1" x14ac:dyDescent="0.3">
      <c r="A44" s="193"/>
      <c r="B44" s="199"/>
      <c r="C44" s="199"/>
      <c r="D44" s="96" t="s">
        <v>33</v>
      </c>
      <c r="E44" s="55">
        <v>0</v>
      </c>
      <c r="F44" s="55">
        <v>0</v>
      </c>
      <c r="G44" s="55">
        <v>320.48399999999998</v>
      </c>
      <c r="H44" s="55">
        <v>0.5</v>
      </c>
      <c r="I44" s="53">
        <v>0</v>
      </c>
      <c r="J44" s="54">
        <f>'пр к ПП3'!H16</f>
        <v>0</v>
      </c>
      <c r="K44" s="54">
        <f>'пр к ПП3'!I16</f>
        <v>0</v>
      </c>
      <c r="L44" s="54">
        <f>'пр к ПП3'!J16</f>
        <v>0</v>
      </c>
      <c r="M44" s="54">
        <f t="shared" si="36"/>
        <v>0</v>
      </c>
      <c r="N44" s="88"/>
      <c r="O44" s="89">
        <f t="shared" si="8"/>
        <v>320.98399999999998</v>
      </c>
    </row>
    <row r="45" spans="1:16" s="90" customFormat="1" ht="48" x14ac:dyDescent="0.3">
      <c r="A45" s="193"/>
      <c r="B45" s="199"/>
      <c r="C45" s="199"/>
      <c r="D45" s="8" t="s">
        <v>85</v>
      </c>
      <c r="E45" s="56"/>
      <c r="F45" s="56"/>
      <c r="G45" s="56"/>
      <c r="H45" s="56"/>
      <c r="I45" s="53"/>
      <c r="J45" s="54"/>
      <c r="K45" s="54"/>
      <c r="L45" s="54"/>
      <c r="M45" s="54">
        <f t="shared" si="36"/>
        <v>0</v>
      </c>
      <c r="N45" s="88"/>
      <c r="O45" s="89">
        <f t="shared" si="8"/>
        <v>0</v>
      </c>
    </row>
    <row r="46" spans="1:16" s="93" customFormat="1" ht="19.5" thickBot="1" x14ac:dyDescent="0.35">
      <c r="A46" s="193"/>
      <c r="B46" s="199"/>
      <c r="C46" s="199"/>
      <c r="D46" s="96" t="s">
        <v>14</v>
      </c>
      <c r="E46" s="55"/>
      <c r="F46" s="55"/>
      <c r="G46" s="55"/>
      <c r="H46" s="55"/>
      <c r="I46" s="53"/>
      <c r="J46" s="54"/>
      <c r="K46" s="54"/>
      <c r="L46" s="54"/>
      <c r="M46" s="54">
        <f t="shared" si="36"/>
        <v>0</v>
      </c>
      <c r="N46" s="91"/>
      <c r="O46" s="92">
        <f t="shared" si="8"/>
        <v>0</v>
      </c>
    </row>
    <row r="47" spans="1:16" s="87" customFormat="1" x14ac:dyDescent="0.3">
      <c r="A47" s="193" t="s">
        <v>73</v>
      </c>
      <c r="B47" s="199" t="s">
        <v>79</v>
      </c>
      <c r="C47" s="199" t="str">
        <f>'пр 6 к МП'!C36</f>
        <v>Развитие связи на территории Туруханского района</v>
      </c>
      <c r="D47" s="105" t="s">
        <v>30</v>
      </c>
      <c r="E47" s="49">
        <f t="shared" ref="E47:H47" si="37">SUM(E49:E53)</f>
        <v>7523.8671199999999</v>
      </c>
      <c r="F47" s="49">
        <f t="shared" si="37"/>
        <v>11940</v>
      </c>
      <c r="G47" s="49">
        <f t="shared" si="37"/>
        <v>9390.4</v>
      </c>
      <c r="H47" s="49">
        <f t="shared" si="37"/>
        <v>12264.716</v>
      </c>
      <c r="I47" s="49">
        <f>SUM(I49:I53)</f>
        <v>13067.336670000001</v>
      </c>
      <c r="J47" s="50">
        <f t="shared" ref="J47" si="38">SUM(J49:J53)</f>
        <v>13267.773999999999</v>
      </c>
      <c r="K47" s="50">
        <f t="shared" ref="K47:L47" si="39">SUM(K49:K53)</f>
        <v>10600</v>
      </c>
      <c r="L47" s="50">
        <f t="shared" si="39"/>
        <v>10600</v>
      </c>
      <c r="M47" s="50">
        <f t="shared" si="36"/>
        <v>34467.773999999998</v>
      </c>
      <c r="N47" s="85">
        <f>M47-'пр 6 к МП'!L36</f>
        <v>0</v>
      </c>
      <c r="O47" s="86">
        <f t="shared" si="8"/>
        <v>88654.093789999999</v>
      </c>
      <c r="P47" s="87" t="b">
        <f>SUM(O49:O53)=O47</f>
        <v>1</v>
      </c>
    </row>
    <row r="48" spans="1:16" s="90" customFormat="1" x14ac:dyDescent="0.3">
      <c r="A48" s="193"/>
      <c r="B48" s="199"/>
      <c r="C48" s="199"/>
      <c r="D48" s="96" t="s">
        <v>13</v>
      </c>
      <c r="E48" s="55"/>
      <c r="F48" s="55"/>
      <c r="G48" s="55"/>
      <c r="H48" s="55"/>
      <c r="I48" s="53"/>
      <c r="J48" s="54"/>
      <c r="K48" s="54"/>
      <c r="L48" s="54"/>
      <c r="M48" s="54"/>
      <c r="N48" s="88"/>
      <c r="O48" s="89">
        <f t="shared" si="8"/>
        <v>0</v>
      </c>
    </row>
    <row r="49" spans="1:15" s="90" customFormat="1" x14ac:dyDescent="0.3">
      <c r="A49" s="193"/>
      <c r="B49" s="199"/>
      <c r="C49" s="199"/>
      <c r="D49" s="7" t="s">
        <v>83</v>
      </c>
      <c r="E49" s="55"/>
      <c r="F49" s="55"/>
      <c r="G49" s="55"/>
      <c r="H49" s="55"/>
      <c r="I49" s="53"/>
      <c r="J49" s="54"/>
      <c r="K49" s="54"/>
      <c r="L49" s="54"/>
      <c r="M49" s="54">
        <f t="shared" ref="M49:M53" si="40">SUM(J49:L49)</f>
        <v>0</v>
      </c>
      <c r="N49" s="88"/>
      <c r="O49" s="89">
        <f t="shared" si="8"/>
        <v>0</v>
      </c>
    </row>
    <row r="50" spans="1:15" s="90" customFormat="1" x14ac:dyDescent="0.3">
      <c r="A50" s="193"/>
      <c r="B50" s="199"/>
      <c r="C50" s="199"/>
      <c r="D50" s="96" t="s">
        <v>84</v>
      </c>
      <c r="E50" s="55"/>
      <c r="F50" s="55"/>
      <c r="G50" s="55"/>
      <c r="H50" s="55">
        <v>2260</v>
      </c>
      <c r="I50" s="53">
        <v>3062.2</v>
      </c>
      <c r="J50" s="54">
        <f>'пр к ПП4'!H17</f>
        <v>2654.5010000000002</v>
      </c>
      <c r="K50" s="54">
        <f>'пр к ПП4'!I17</f>
        <v>0</v>
      </c>
      <c r="L50" s="54">
        <f>'пр к ПП4'!J17</f>
        <v>0</v>
      </c>
      <c r="M50" s="54">
        <f t="shared" si="40"/>
        <v>2654.5010000000002</v>
      </c>
      <c r="N50" s="88"/>
      <c r="O50" s="89">
        <f t="shared" si="8"/>
        <v>7976.701</v>
      </c>
    </row>
    <row r="51" spans="1:15" s="90" customFormat="1" x14ac:dyDescent="0.3">
      <c r="A51" s="193"/>
      <c r="B51" s="199"/>
      <c r="C51" s="199"/>
      <c r="D51" s="96" t="s">
        <v>33</v>
      </c>
      <c r="E51" s="55">
        <v>7523.8671199999999</v>
      </c>
      <c r="F51" s="55">
        <v>11940</v>
      </c>
      <c r="G51" s="55">
        <v>9390.4</v>
      </c>
      <c r="H51" s="55">
        <v>10004.716</v>
      </c>
      <c r="I51" s="53">
        <v>10005.13667</v>
      </c>
      <c r="J51" s="54">
        <f>'пр к ПП4'!H15+'пр к ПП4'!H18</f>
        <v>10613.272999999999</v>
      </c>
      <c r="K51" s="54">
        <f>'пр к ПП4'!I15+'пр к ПП4'!I18</f>
        <v>10600</v>
      </c>
      <c r="L51" s="54">
        <f>'пр к ПП4'!J15+'пр к ПП4'!J18</f>
        <v>10600</v>
      </c>
      <c r="M51" s="54">
        <f t="shared" si="40"/>
        <v>31813.273000000001</v>
      </c>
      <c r="N51" s="88"/>
      <c r="O51" s="89">
        <f t="shared" si="8"/>
        <v>80677.392789999998</v>
      </c>
    </row>
    <row r="52" spans="1:15" s="90" customFormat="1" ht="48" x14ac:dyDescent="0.3">
      <c r="A52" s="193"/>
      <c r="B52" s="199"/>
      <c r="C52" s="199"/>
      <c r="D52" s="8" t="s">
        <v>85</v>
      </c>
      <c r="E52" s="56"/>
      <c r="F52" s="56"/>
      <c r="G52" s="56"/>
      <c r="H52" s="56"/>
      <c r="I52" s="53"/>
      <c r="J52" s="54"/>
      <c r="K52" s="54"/>
      <c r="L52" s="54"/>
      <c r="M52" s="54">
        <f t="shared" si="40"/>
        <v>0</v>
      </c>
      <c r="N52" s="88"/>
      <c r="O52" s="89">
        <f t="shared" si="8"/>
        <v>0</v>
      </c>
    </row>
    <row r="53" spans="1:15" s="93" customFormat="1" ht="19.5" thickBot="1" x14ac:dyDescent="0.35">
      <c r="A53" s="193"/>
      <c r="B53" s="199"/>
      <c r="C53" s="199"/>
      <c r="D53" s="96" t="s">
        <v>14</v>
      </c>
      <c r="E53" s="55"/>
      <c r="F53" s="55"/>
      <c r="G53" s="55"/>
      <c r="H53" s="55"/>
      <c r="I53" s="53"/>
      <c r="J53" s="54"/>
      <c r="K53" s="54"/>
      <c r="L53" s="54"/>
      <c r="M53" s="54">
        <f t="shared" si="40"/>
        <v>0</v>
      </c>
      <c r="N53" s="91"/>
      <c r="O53" s="92">
        <f t="shared" si="8"/>
        <v>0</v>
      </c>
    </row>
    <row r="58" spans="1:15" s="1" customFormat="1" ht="15.75" hidden="1" outlineLevel="1" x14ac:dyDescent="0.25">
      <c r="A58" s="4"/>
      <c r="B58" s="1" t="s">
        <v>144</v>
      </c>
      <c r="E58" s="4"/>
      <c r="I58" s="34"/>
    </row>
    <row r="59" spans="1:15" s="1" customFormat="1" ht="15.75" hidden="1" outlineLevel="1" x14ac:dyDescent="0.25">
      <c r="A59" s="4"/>
      <c r="B59" s="1" t="s">
        <v>145</v>
      </c>
      <c r="E59" s="4"/>
      <c r="I59" s="34"/>
      <c r="J59" s="1" t="b">
        <f>J26='пр к ПП1'!H31</f>
        <v>1</v>
      </c>
      <c r="K59" s="1" t="b">
        <f>K26='пр к ПП1'!I31</f>
        <v>1</v>
      </c>
      <c r="L59" s="1" t="b">
        <f>L26='пр к ПП1'!J31</f>
        <v>1</v>
      </c>
      <c r="M59" s="1" t="b">
        <f>M26='пр к ПП1'!K31</f>
        <v>1</v>
      </c>
      <c r="N59" s="1" t="b">
        <f>N35='пр к ПП1'!K43</f>
        <v>1</v>
      </c>
    </row>
    <row r="60" spans="1:15" s="1" customFormat="1" ht="15.75" hidden="1" outlineLevel="1" x14ac:dyDescent="0.25">
      <c r="A60" s="4"/>
      <c r="B60" s="1" t="s">
        <v>146</v>
      </c>
      <c r="E60" s="4"/>
      <c r="I60" s="34"/>
      <c r="J60" s="1" t="e">
        <f>J33=#REF!</f>
        <v>#REF!</v>
      </c>
      <c r="K60" s="1" t="e">
        <f>K33=#REF!</f>
        <v>#REF!</v>
      </c>
      <c r="L60" s="1" t="e">
        <f>L33=#REF!</f>
        <v>#REF!</v>
      </c>
      <c r="M60" s="1" t="e">
        <f>M33=#REF!</f>
        <v>#REF!</v>
      </c>
      <c r="N60" s="1" t="e">
        <f>N39=#REF!</f>
        <v>#REF!</v>
      </c>
    </row>
    <row r="61" spans="1:15" s="1" customFormat="1" ht="15.75" hidden="1" outlineLevel="1" x14ac:dyDescent="0.25">
      <c r="A61" s="4"/>
      <c r="B61" s="1" t="s">
        <v>147</v>
      </c>
      <c r="E61" s="4"/>
      <c r="I61" s="34"/>
      <c r="J61" s="1" t="b">
        <f>J40='пр к ПП3'!H22</f>
        <v>1</v>
      </c>
      <c r="K61" s="1" t="b">
        <f>K40='пр к ПП3'!I22</f>
        <v>1</v>
      </c>
      <c r="L61" s="1" t="b">
        <f>L40='пр к ПП3'!J22</f>
        <v>1</v>
      </c>
      <c r="M61" s="1" t="b">
        <f>M40='пр к ПП3'!K22</f>
        <v>1</v>
      </c>
      <c r="N61" s="1" t="b">
        <f>N43='пр к ПП3'!K34</f>
        <v>1</v>
      </c>
    </row>
    <row r="62" spans="1:15" s="1" customFormat="1" ht="15.75" hidden="1" outlineLevel="1" x14ac:dyDescent="0.25">
      <c r="A62" s="4"/>
      <c r="B62" s="1" t="s">
        <v>148</v>
      </c>
      <c r="E62" s="4"/>
      <c r="I62" s="34"/>
      <c r="J62" s="1" t="b">
        <f>J47='пр к ПП4'!H20</f>
        <v>1</v>
      </c>
      <c r="K62" s="1" t="b">
        <f>K47='пр к ПП4'!I20</f>
        <v>1</v>
      </c>
      <c r="L62" s="1" t="b">
        <f>L47='пр к ПП4'!J20</f>
        <v>1</v>
      </c>
      <c r="M62" s="1" t="b">
        <f>M47='пр к ПП4'!K20</f>
        <v>1</v>
      </c>
      <c r="N62" s="1" t="b">
        <f>N47='пр к ПП4'!L20</f>
        <v>0</v>
      </c>
    </row>
    <row r="63" spans="1:15" s="1" customFormat="1" ht="15.75" hidden="1" outlineLevel="1" x14ac:dyDescent="0.25">
      <c r="A63" s="4"/>
      <c r="E63" s="4"/>
      <c r="I63" s="34"/>
    </row>
    <row r="64" spans="1:15" s="1" customFormat="1" ht="15.75" hidden="1" outlineLevel="1" x14ac:dyDescent="0.25">
      <c r="A64" s="4"/>
      <c r="E64" s="4"/>
      <c r="I64" s="34"/>
    </row>
    <row r="65" spans="1:14" s="1" customFormat="1" ht="15.75" hidden="1" outlineLevel="1" x14ac:dyDescent="0.25">
      <c r="A65" s="4"/>
      <c r="B65" s="1" t="s">
        <v>145</v>
      </c>
      <c r="E65" s="4"/>
      <c r="I65" s="130">
        <f>I26-'пр к ПП1'!H31</f>
        <v>-31730.896839999987</v>
      </c>
      <c r="J65" s="82">
        <f>J26-'пр к ПП1'!H31</f>
        <v>0</v>
      </c>
      <c r="K65" s="82">
        <f>K26-'пр к ПП1'!I31</f>
        <v>0</v>
      </c>
      <c r="L65" s="82">
        <f>L26-'пр к ПП1'!J31</f>
        <v>0</v>
      </c>
      <c r="M65" s="82">
        <f>M26-'пр к ПП1'!K31</f>
        <v>0</v>
      </c>
      <c r="N65" s="82">
        <f>N35-'пр к ПП1'!K43</f>
        <v>0</v>
      </c>
    </row>
    <row r="66" spans="1:14" s="1" customFormat="1" ht="15.75" hidden="1" outlineLevel="1" x14ac:dyDescent="0.25">
      <c r="A66" s="4"/>
      <c r="B66" s="1" t="s">
        <v>146</v>
      </c>
      <c r="E66" s="4"/>
      <c r="I66" s="130" t="e">
        <f>I33-#REF!</f>
        <v>#REF!</v>
      </c>
      <c r="J66" s="82" t="e">
        <f>J33-#REF!</f>
        <v>#REF!</v>
      </c>
      <c r="K66" s="82" t="e">
        <f>K33-#REF!</f>
        <v>#REF!</v>
      </c>
      <c r="L66" s="82" t="e">
        <f>L33-#REF!</f>
        <v>#REF!</v>
      </c>
      <c r="M66" s="82" t="e">
        <f>M33-#REF!</f>
        <v>#REF!</v>
      </c>
      <c r="N66" s="82" t="e">
        <f>N39-#REF!</f>
        <v>#REF!</v>
      </c>
    </row>
    <row r="67" spans="1:14" s="1" customFormat="1" ht="15.75" hidden="1" outlineLevel="1" x14ac:dyDescent="0.25">
      <c r="A67" s="4"/>
      <c r="B67" s="1" t="s">
        <v>147</v>
      </c>
      <c r="E67" s="4"/>
      <c r="I67" s="130">
        <f>I40-'пр к ПП3'!H22</f>
        <v>-140.5</v>
      </c>
      <c r="J67" s="82">
        <f>J40-'пр к ПП3'!H22</f>
        <v>0</v>
      </c>
      <c r="K67" s="82">
        <f>K40-'пр к ПП3'!I22</f>
        <v>0</v>
      </c>
      <c r="L67" s="82">
        <f>L40-'пр к ПП3'!J22</f>
        <v>0</v>
      </c>
      <c r="M67" s="82">
        <f>M40-'пр к ПП3'!K22</f>
        <v>0</v>
      </c>
      <c r="N67" s="82">
        <f>N43-'пр к ПП3'!K34</f>
        <v>0</v>
      </c>
    </row>
    <row r="68" spans="1:14" s="1" customFormat="1" ht="15.75" hidden="1" outlineLevel="1" x14ac:dyDescent="0.25">
      <c r="A68" s="4"/>
      <c r="B68" s="1" t="s">
        <v>148</v>
      </c>
      <c r="E68" s="4"/>
      <c r="I68" s="130">
        <f>I47-'пр к ПП4'!H20</f>
        <v>-200.43733000000066</v>
      </c>
      <c r="J68" s="82">
        <f>J47-'пр к ПП4'!H20</f>
        <v>0</v>
      </c>
      <c r="K68" s="82">
        <f>K47-'пр к ПП4'!I20</f>
        <v>0</v>
      </c>
      <c r="L68" s="82">
        <f>L47-'пр к ПП4'!J20</f>
        <v>0</v>
      </c>
      <c r="M68" s="82">
        <f>M47-'пр к ПП4'!K20</f>
        <v>0</v>
      </c>
      <c r="N68" s="82">
        <f>N47-'пр к ПП4'!K32</f>
        <v>0</v>
      </c>
    </row>
    <row r="69" spans="1:14" hidden="1" outlineLevel="1" x14ac:dyDescent="0.3"/>
    <row r="70" spans="1:14" hidden="1" outlineLevel="1" x14ac:dyDescent="0.3"/>
    <row r="71" spans="1:14" collapsed="1" x14ac:dyDescent="0.3"/>
  </sheetData>
  <mergeCells count="28">
    <mergeCell ref="J1:M1"/>
    <mergeCell ref="A12:M12"/>
    <mergeCell ref="J5:M5"/>
    <mergeCell ref="A8:M8"/>
    <mergeCell ref="A9:M9"/>
    <mergeCell ref="A10:M10"/>
    <mergeCell ref="A11:M11"/>
    <mergeCell ref="A16:A17"/>
    <mergeCell ref="B16:B17"/>
    <mergeCell ref="C16:C17"/>
    <mergeCell ref="D16:D17"/>
    <mergeCell ref="A13:M13"/>
    <mergeCell ref="A40:A46"/>
    <mergeCell ref="B40:B46"/>
    <mergeCell ref="C40:C46"/>
    <mergeCell ref="A47:A53"/>
    <mergeCell ref="M16:M17"/>
    <mergeCell ref="A19:A25"/>
    <mergeCell ref="B19:B25"/>
    <mergeCell ref="C19:C25"/>
    <mergeCell ref="A33:A39"/>
    <mergeCell ref="B33:B39"/>
    <mergeCell ref="C33:C39"/>
    <mergeCell ref="B47:B53"/>
    <mergeCell ref="C47:C53"/>
    <mergeCell ref="A26:A32"/>
    <mergeCell ref="B26:B32"/>
    <mergeCell ref="C26:C32"/>
  </mergeCells>
  <pageMargins left="0.78740157480314965" right="0.78740157480314965" top="1.1811023622047245" bottom="0.2" header="0.31496062992125984" footer="0.31496062992125984"/>
  <pageSetup paperSize="9" scale="82" fitToHeight="0" orientation="landscape" r:id="rId1"/>
  <rowBreaks count="2" manualBreakCount="2">
    <brk id="25" max="12" man="1"/>
    <brk id="46" max="12" man="1"/>
  </rowBreaks>
  <colBreaks count="2" manualBreakCount="2">
    <brk id="9" max="1048575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 к пасп</vt:lpstr>
      <vt:lpstr>пр к ПП1</vt:lpstr>
      <vt:lpstr>пр к пасп ПП2</vt:lpstr>
      <vt:lpstr>пр к пасп ПП3</vt:lpstr>
      <vt:lpstr>пр к ПП3</vt:lpstr>
      <vt:lpstr>пр к ПП4</vt:lpstr>
      <vt:lpstr>пр 6 к МП</vt:lpstr>
      <vt:lpstr>пр 7 к МП</vt:lpstr>
      <vt:lpstr>'пр 6 к МП'!Заголовки_для_печати</vt:lpstr>
      <vt:lpstr>'пр 7 к МП'!Заголовки_для_печати</vt:lpstr>
      <vt:lpstr>'пр к пасп'!Заголовки_для_печати</vt:lpstr>
      <vt:lpstr>'пр к пасп ПП2'!Заголовки_для_печати</vt:lpstr>
      <vt:lpstr>'пр к пасп ПП3'!Заголовки_для_печати</vt:lpstr>
      <vt:lpstr>'пр к ПП1'!Заголовки_для_печати</vt:lpstr>
      <vt:lpstr>'пр к ПП3'!Заголовки_для_печати</vt:lpstr>
      <vt:lpstr>'пр 6 к МП'!Область_печати</vt:lpstr>
      <vt:lpstr>'пр 7 к МП'!Область_печати</vt:lpstr>
      <vt:lpstr>'пр к пасп'!Область_печати</vt:lpstr>
      <vt:lpstr>'пр к ПП1'!Область_печати</vt:lpstr>
      <vt:lpstr>'пр к ПП3'!Область_печати</vt:lpstr>
      <vt:lpstr>'пр к ПП4'!Область_печати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Мирошникова </cp:lastModifiedBy>
  <cp:lastPrinted>2019-04-25T04:16:04Z</cp:lastPrinted>
  <dcterms:created xsi:type="dcterms:W3CDTF">2016-10-20T04:37:12Z</dcterms:created>
  <dcterms:modified xsi:type="dcterms:W3CDTF">2019-04-25T04:21:06Z</dcterms:modified>
</cp:coreProperties>
</file>