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8\муниципальные программы - изменения в 2018 году\09   транспорт\-п   сессия 30.11.2018\"/>
    </mc:Choice>
  </mc:AlternateContent>
  <bookViews>
    <workbookView xWindow="0" yWindow="0" windowWidth="28800" windowHeight="11625" tabRatio="899" activeTab="5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к пасп ПП3" sheetId="19" r:id="rId6"/>
    <sheet name="пр к ПП3" sheetId="16" r:id="rId7"/>
    <sheet name="пр к пасп ПП4" sheetId="20" r:id="rId8"/>
    <sheet name="пр к ПП4" sheetId="17" r:id="rId9"/>
    <sheet name="пр 5 к МП" sheetId="3" r:id="rId10"/>
    <sheet name="пр 6 к МП" sheetId="5" r:id="rId11"/>
    <sheet name="пр 7 к МП" sheetId="6" r:id="rId12"/>
    <sheet name="пп1" sheetId="22" r:id="rId13"/>
    <sheet name="пп2" sheetId="21" r:id="rId14"/>
    <sheet name="пп3" sheetId="24" r:id="rId15"/>
    <sheet name="пп4" sheetId="25" r:id="rId16"/>
  </sheets>
  <definedNames>
    <definedName name="_xlnm._FilterDatabase" localSheetId="2" hidden="1">'пр к ПП1'!$A$10:$L$22</definedName>
    <definedName name="_xlnm._FilterDatabase" localSheetId="4" hidden="1">'пр к ПП2'!$A$10:$L$17</definedName>
    <definedName name="_xlnm._FilterDatabase" localSheetId="6" hidden="1">'пр к ПП3'!$A$10:$L$14</definedName>
    <definedName name="_xlnm._FilterDatabase" localSheetId="8" hidden="1">'пр к ПП4'!$A$10:$L$14</definedName>
    <definedName name="_xlnm.Print_Titles" localSheetId="9">'пр 5 к МП'!$11:$12</definedName>
    <definedName name="_xlnm.Print_Titles" localSheetId="10">'пр 6 к МП'!$14:$16</definedName>
    <definedName name="_xlnm.Print_Titles" localSheetId="11">'пр 7 к МП'!$16:$18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3">'пр к пасп ПП2'!$10:$12</definedName>
    <definedName name="_xlnm.Print_Titles" localSheetId="5">'пр к пасп ПП3'!$10:$12</definedName>
    <definedName name="_xlnm.Print_Titles" localSheetId="7">'пр к пасп ПП4'!$7:$9</definedName>
    <definedName name="_xlnm.Print_Titles" localSheetId="2">'пр к ПП1'!$10:$12</definedName>
    <definedName name="_xlnm.Print_Titles" localSheetId="6">'пр к ПП3'!$10:$11</definedName>
    <definedName name="_xlnm.Print_Area" localSheetId="10">'пр 6 к МП'!$A$1:$L$39</definedName>
    <definedName name="_xlnm.Print_Area" localSheetId="11">'пр 7 к МП'!$A$1:$L$53</definedName>
    <definedName name="_xlnm.Print_Area" localSheetId="0">'пр к пасп'!$A$1:$M$29</definedName>
    <definedName name="_xlnm.Print_Area" localSheetId="1">'пр к пасп ПП1'!$A$1:$H$18</definedName>
    <definedName name="_xlnm.Print_Area" localSheetId="2">'пр к ПП1'!$A$1:$L$26</definedName>
    <definedName name="_xlnm.Print_Area" localSheetId="4">'пр к ПП2'!$A$1:$L$24</definedName>
    <definedName name="_xlnm.Print_Area" localSheetId="6">'пр к ПП3'!$A$1:$L$22</definedName>
    <definedName name="_xlnm.Print_Area" localSheetId="8">'пр к ПП4'!$A$1:$L$25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1" l="1"/>
  <c r="H10" i="21"/>
  <c r="E10" i="21"/>
  <c r="G15" i="18"/>
  <c r="H15" i="18" s="1"/>
  <c r="H22" i="2"/>
  <c r="E9" i="25" l="1"/>
  <c r="K27" i="5" l="1"/>
  <c r="J27" i="5"/>
  <c r="F16" i="21" l="1"/>
  <c r="G16" i="21"/>
  <c r="F15" i="21"/>
  <c r="G15" i="21"/>
  <c r="H15" i="21"/>
  <c r="E15" i="21"/>
  <c r="B15" i="21"/>
  <c r="J37" i="6" l="1"/>
  <c r="K37" i="6"/>
  <c r="I37" i="6"/>
  <c r="J20" i="5"/>
  <c r="K20" i="5"/>
  <c r="J21" i="5"/>
  <c r="K21" i="5"/>
  <c r="J22" i="5"/>
  <c r="K22" i="5"/>
  <c r="I20" i="5"/>
  <c r="I22" i="5"/>
  <c r="J31" i="5"/>
  <c r="K31" i="5"/>
  <c r="I31" i="5"/>
  <c r="E31" i="5"/>
  <c r="I24" i="15"/>
  <c r="J24" i="15"/>
  <c r="H24" i="15"/>
  <c r="J23" i="15"/>
  <c r="I23" i="15"/>
  <c r="H23" i="15"/>
  <c r="K23" i="15" s="1"/>
  <c r="K22" i="15"/>
  <c r="L31" i="5" l="1"/>
  <c r="J30" i="6"/>
  <c r="F6" i="25" l="1"/>
  <c r="G6" i="25"/>
  <c r="E37" i="22"/>
  <c r="E34" i="22"/>
  <c r="H18" i="7" l="1"/>
  <c r="G17" i="7"/>
  <c r="H17" i="7" s="1"/>
  <c r="G18" i="7"/>
  <c r="G16" i="7"/>
  <c r="H16" i="7" s="1"/>
  <c r="J19" i="2"/>
  <c r="K19" i="2"/>
  <c r="L19" i="2"/>
  <c r="M19" i="2"/>
  <c r="K18" i="2"/>
  <c r="L18" i="2"/>
  <c r="M18" i="2" s="1"/>
  <c r="J18" i="2"/>
  <c r="E17" i="19" l="1"/>
  <c r="G21" i="2"/>
  <c r="J21" i="16" l="1"/>
  <c r="K21" i="16" s="1"/>
  <c r="I21" i="16"/>
  <c r="H21" i="16"/>
  <c r="K20" i="16"/>
  <c r="E8" i="25" l="1"/>
  <c r="E7" i="25"/>
  <c r="E6" i="25" l="1"/>
  <c r="E7" i="21"/>
  <c r="H7" i="21"/>
  <c r="H8" i="21"/>
  <c r="I19" i="22"/>
  <c r="G24" i="22"/>
  <c r="H24" i="22"/>
  <c r="I24" i="22"/>
  <c r="F24" i="22"/>
  <c r="I51" i="6"/>
  <c r="J50" i="6"/>
  <c r="K50" i="6"/>
  <c r="I50" i="6"/>
  <c r="K30" i="6"/>
  <c r="I30" i="6"/>
  <c r="I26" i="8"/>
  <c r="J26" i="8"/>
  <c r="J39" i="5"/>
  <c r="K39" i="5"/>
  <c r="I39" i="5"/>
  <c r="E39" i="5"/>
  <c r="J26" i="5"/>
  <c r="K26" i="5"/>
  <c r="I26" i="5"/>
  <c r="I21" i="5" s="1"/>
  <c r="L30" i="6" l="1"/>
  <c r="L39" i="5"/>
  <c r="K18" i="17" l="1"/>
  <c r="H8" i="25" s="1"/>
  <c r="H19" i="17"/>
  <c r="J25" i="8"/>
  <c r="I25" i="8"/>
  <c r="H25" i="8"/>
  <c r="K24" i="8"/>
  <c r="K17" i="17" l="1"/>
  <c r="H7" i="25" s="1"/>
  <c r="H6" i="25" s="1"/>
  <c r="J19" i="17"/>
  <c r="K19" i="17" s="1"/>
  <c r="I19" i="17"/>
  <c r="K25" i="8"/>
  <c r="J29" i="6"/>
  <c r="F19" i="22"/>
  <c r="G19" i="22"/>
  <c r="G18" i="22"/>
  <c r="M7" i="22" l="1"/>
  <c r="M8" i="22"/>
  <c r="M9" i="22"/>
  <c r="M10" i="22"/>
  <c r="M11" i="22"/>
  <c r="M12" i="22"/>
  <c r="M6" i="22"/>
  <c r="M15" i="22"/>
  <c r="M16" i="22"/>
  <c r="M17" i="22"/>
  <c r="M18" i="22"/>
  <c r="M20" i="22"/>
  <c r="M21" i="22"/>
  <c r="M14" i="22"/>
  <c r="G14" i="22"/>
  <c r="H14" i="22"/>
  <c r="G15" i="22"/>
  <c r="H15" i="22"/>
  <c r="G16" i="22"/>
  <c r="H16" i="22"/>
  <c r="G17" i="22"/>
  <c r="H17" i="22"/>
  <c r="H18" i="22"/>
  <c r="G20" i="22"/>
  <c r="H20" i="22"/>
  <c r="G21" i="22"/>
  <c r="H21" i="22"/>
  <c r="K29" i="6"/>
  <c r="I29" i="6"/>
  <c r="H13" i="22" l="1"/>
  <c r="G13" i="22"/>
  <c r="R19" i="6" l="1"/>
  <c r="I29" i="5" l="1"/>
  <c r="I27" i="5" l="1"/>
  <c r="F16" i="18"/>
  <c r="G16" i="18" s="1"/>
  <c r="H16" i="18" s="1"/>
  <c r="F8" i="24" l="1"/>
  <c r="G8" i="24"/>
  <c r="E8" i="24"/>
  <c r="F6" i="24"/>
  <c r="G6" i="24"/>
  <c r="F7" i="24"/>
  <c r="G7" i="24"/>
  <c r="E7" i="24"/>
  <c r="E6" i="24"/>
  <c r="H7" i="24" l="1"/>
  <c r="F5" i="24"/>
  <c r="F10" i="24" s="1"/>
  <c r="H6" i="24"/>
  <c r="G5" i="24"/>
  <c r="G10" i="24" s="1"/>
  <c r="E5" i="24"/>
  <c r="E10" i="24" s="1"/>
  <c r="H8" i="24"/>
  <c r="I19" i="16" l="1"/>
  <c r="J19" i="16"/>
  <c r="H19" i="16"/>
  <c r="I17" i="16"/>
  <c r="J17" i="16"/>
  <c r="H17" i="16"/>
  <c r="H22" i="16" s="1"/>
  <c r="E12" i="24" s="1"/>
  <c r="I22" i="16"/>
  <c r="F12" i="24" s="1"/>
  <c r="K17" i="16" l="1"/>
  <c r="K19" i="16"/>
  <c r="J22" i="16"/>
  <c r="K22" i="16" l="1"/>
  <c r="G12" i="24"/>
  <c r="H12" i="24" s="1"/>
  <c r="H21" i="6"/>
  <c r="H22" i="6"/>
  <c r="H23" i="6"/>
  <c r="H24" i="6"/>
  <c r="H25" i="6"/>
  <c r="H47" i="6"/>
  <c r="H40" i="6"/>
  <c r="H33" i="6"/>
  <c r="H26" i="6"/>
  <c r="H19" i="6" l="1"/>
  <c r="H16" i="19"/>
  <c r="F17" i="19" l="1"/>
  <c r="G17" i="19"/>
  <c r="G18" i="19" s="1"/>
  <c r="F16" i="19"/>
  <c r="G16" i="19"/>
  <c r="E16" i="19"/>
  <c r="G15" i="19" l="1"/>
  <c r="F19" i="19"/>
  <c r="F15" i="19"/>
  <c r="E19" i="19"/>
  <c r="E15" i="19"/>
  <c r="H16" i="17"/>
  <c r="H20" i="17" s="1"/>
  <c r="H18" i="15"/>
  <c r="I16" i="15"/>
  <c r="H16" i="15"/>
  <c r="I16" i="8"/>
  <c r="J16" i="8"/>
  <c r="I18" i="8"/>
  <c r="J18" i="8"/>
  <c r="I23" i="8"/>
  <c r="J23" i="8"/>
  <c r="H23" i="8"/>
  <c r="H21" i="8"/>
  <c r="H18" i="8"/>
  <c r="H16" i="8"/>
  <c r="H26" i="8" l="1"/>
  <c r="I17" i="15"/>
  <c r="J19" i="8"/>
  <c r="I21" i="8"/>
  <c r="K20" i="15"/>
  <c r="J21" i="15"/>
  <c r="I21" i="15"/>
  <c r="H21" i="15"/>
  <c r="K21" i="15" s="1"/>
  <c r="J16" i="15"/>
  <c r="K16" i="15" s="1"/>
  <c r="I18" i="15" l="1"/>
  <c r="J29" i="5"/>
  <c r="J21" i="8"/>
  <c r="G19" i="19"/>
  <c r="E5" i="25"/>
  <c r="N50" i="6"/>
  <c r="M67" i="6" l="1"/>
  <c r="M66" i="6"/>
  <c r="M61" i="6"/>
  <c r="M60" i="6"/>
  <c r="K23" i="8"/>
  <c r="K22" i="8"/>
  <c r="K20" i="8"/>
  <c r="I38" i="5"/>
  <c r="I36" i="5" l="1"/>
  <c r="I19" i="5"/>
  <c r="I17" i="5" s="1"/>
  <c r="I51" i="5"/>
  <c r="J51" i="6"/>
  <c r="I57" i="5" l="1"/>
  <c r="F5" i="25"/>
  <c r="F9" i="25" s="1"/>
  <c r="I16" i="17"/>
  <c r="I20" i="17" s="1"/>
  <c r="J38" i="5"/>
  <c r="J15" i="17"/>
  <c r="K51" i="6" s="1"/>
  <c r="J36" i="5" l="1"/>
  <c r="J57" i="5" s="1"/>
  <c r="J19" i="5"/>
  <c r="J17" i="5" s="1"/>
  <c r="G5" i="25"/>
  <c r="G9" i="25" s="1"/>
  <c r="K38" i="5"/>
  <c r="K19" i="5" s="1"/>
  <c r="K17" i="5" s="1"/>
  <c r="J16" i="17"/>
  <c r="J20" i="17" s="1"/>
  <c r="K15" i="17"/>
  <c r="N31" i="6"/>
  <c r="N32" i="6"/>
  <c r="N38" i="6"/>
  <c r="N39" i="6"/>
  <c r="F21" i="22"/>
  <c r="F20" i="22"/>
  <c r="F18" i="22"/>
  <c r="F17" i="22"/>
  <c r="F16" i="22"/>
  <c r="F15" i="22"/>
  <c r="F14" i="22"/>
  <c r="G6" i="22"/>
  <c r="H6" i="22"/>
  <c r="G7" i="22"/>
  <c r="H7" i="22"/>
  <c r="G8" i="22"/>
  <c r="H8" i="22"/>
  <c r="G9" i="22"/>
  <c r="H9" i="22"/>
  <c r="G11" i="22"/>
  <c r="H11" i="22"/>
  <c r="G12" i="22"/>
  <c r="H12" i="22"/>
  <c r="F7" i="22"/>
  <c r="F8" i="22"/>
  <c r="F9" i="22"/>
  <c r="F10" i="22"/>
  <c r="I10" i="22" s="1"/>
  <c r="F11" i="22"/>
  <c r="F12" i="22"/>
  <c r="F6" i="22"/>
  <c r="P21" i="22"/>
  <c r="P20" i="22"/>
  <c r="P18" i="22"/>
  <c r="P17" i="22"/>
  <c r="P16" i="22"/>
  <c r="P15" i="22"/>
  <c r="P14" i="22"/>
  <c r="O13" i="22"/>
  <c r="N13" i="22"/>
  <c r="M13" i="22"/>
  <c r="P12" i="22"/>
  <c r="P11" i="22"/>
  <c r="P10" i="22"/>
  <c r="P9" i="22"/>
  <c r="P8" i="22"/>
  <c r="P7" i="22"/>
  <c r="O5" i="22"/>
  <c r="N5" i="22"/>
  <c r="M5" i="22"/>
  <c r="K36" i="5" l="1"/>
  <c r="K57" i="5" s="1"/>
  <c r="I7" i="22"/>
  <c r="I11" i="22"/>
  <c r="I6" i="22"/>
  <c r="K16" i="17"/>
  <c r="J51" i="5"/>
  <c r="H5" i="25"/>
  <c r="H9" i="25" s="1"/>
  <c r="P5" i="22"/>
  <c r="P13" i="22"/>
  <c r="E22" i="6"/>
  <c r="K51" i="5" l="1"/>
  <c r="N36" i="6"/>
  <c r="F5" i="21" l="1"/>
  <c r="F6" i="21" s="1"/>
  <c r="G5" i="21"/>
  <c r="G6" i="21" s="1"/>
  <c r="E5" i="21"/>
  <c r="E16" i="21" s="1"/>
  <c r="E6" i="21" l="1"/>
  <c r="H6" i="21" s="1"/>
  <c r="H5" i="21"/>
  <c r="H16" i="21" s="1"/>
  <c r="B8" i="24"/>
  <c r="B5" i="24"/>
  <c r="F14" i="21"/>
  <c r="G14" i="21"/>
  <c r="E14" i="21"/>
  <c r="F13" i="21"/>
  <c r="G13" i="21"/>
  <c r="E13" i="21"/>
  <c r="B14" i="21"/>
  <c r="B13" i="21"/>
  <c r="F5" i="22"/>
  <c r="C13" i="22"/>
  <c r="C5" i="22"/>
  <c r="J44" i="6"/>
  <c r="K44" i="6"/>
  <c r="I44" i="6"/>
  <c r="J43" i="6"/>
  <c r="K43" i="6"/>
  <c r="I43" i="6"/>
  <c r="K40" i="6" l="1"/>
  <c r="J40" i="6"/>
  <c r="H5" i="24"/>
  <c r="H10" i="24" s="1"/>
  <c r="I40" i="6"/>
  <c r="H14" i="21"/>
  <c r="H13" i="21"/>
  <c r="E30" i="5"/>
  <c r="E35" i="5"/>
  <c r="J34" i="5"/>
  <c r="K34" i="5"/>
  <c r="J35" i="5"/>
  <c r="K35" i="5"/>
  <c r="I35" i="5"/>
  <c r="J30" i="5"/>
  <c r="K30" i="5"/>
  <c r="I30" i="5"/>
  <c r="K18" i="16"/>
  <c r="K16" i="16"/>
  <c r="K15" i="16"/>
  <c r="I55" i="5" l="1"/>
  <c r="K61" i="6"/>
  <c r="J61" i="6"/>
  <c r="K67" i="6"/>
  <c r="J67" i="6"/>
  <c r="I67" i="6"/>
  <c r="I61" i="6"/>
  <c r="L22" i="5"/>
  <c r="J32" i="5"/>
  <c r="K32" i="5"/>
  <c r="L35" i="5"/>
  <c r="L30" i="5"/>
  <c r="I49" i="5" l="1"/>
  <c r="J56" i="5"/>
  <c r="J50" i="5"/>
  <c r="K56" i="5"/>
  <c r="K50" i="5"/>
  <c r="T22" i="2" l="1"/>
  <c r="R22" i="2"/>
  <c r="J22" i="6" l="1"/>
  <c r="I23" i="6" l="1"/>
  <c r="I21" i="6"/>
  <c r="G22" i="6" l="1"/>
  <c r="G23" i="6"/>
  <c r="F22" i="6" l="1"/>
  <c r="F23" i="6"/>
  <c r="E23" i="6" l="1"/>
  <c r="E26" i="6"/>
  <c r="G12" i="20" l="1"/>
  <c r="H12" i="20" s="1"/>
  <c r="G27" i="22" l="1"/>
  <c r="H27" i="22"/>
  <c r="F27" i="22"/>
  <c r="G23" i="22"/>
  <c r="H23" i="22"/>
  <c r="F23" i="22"/>
  <c r="F22" i="22"/>
  <c r="I21" i="22"/>
  <c r="I20" i="22"/>
  <c r="I18" i="22"/>
  <c r="I17" i="22"/>
  <c r="I16" i="22"/>
  <c r="I15" i="22"/>
  <c r="I14" i="22"/>
  <c r="F13" i="22"/>
  <c r="I12" i="22"/>
  <c r="I9" i="22"/>
  <c r="I8" i="22"/>
  <c r="H5" i="22"/>
  <c r="G5" i="22"/>
  <c r="E12" i="21"/>
  <c r="E11" i="21"/>
  <c r="I27" i="22" l="1"/>
  <c r="F25" i="22"/>
  <c r="G28" i="22"/>
  <c r="G29" i="22" s="1"/>
  <c r="K15" i="8"/>
  <c r="K17" i="8"/>
  <c r="H28" i="22"/>
  <c r="H29" i="22" s="1"/>
  <c r="K22" i="6"/>
  <c r="F28" i="22"/>
  <c r="F29" i="22" s="1"/>
  <c r="G22" i="22"/>
  <c r="G25" i="22" s="1"/>
  <c r="I5" i="22"/>
  <c r="I13" i="22"/>
  <c r="G9" i="21"/>
  <c r="G10" i="21"/>
  <c r="G11" i="21"/>
  <c r="G12" i="21"/>
  <c r="A15" i="7"/>
  <c r="A14" i="7"/>
  <c r="H12" i="21" l="1"/>
  <c r="H11" i="21"/>
  <c r="K21" i="8"/>
  <c r="K19" i="8"/>
  <c r="K18" i="8"/>
  <c r="K16" i="8"/>
  <c r="I22" i="6"/>
  <c r="I26" i="6"/>
  <c r="H22" i="22"/>
  <c r="H25" i="22" s="1"/>
  <c r="K24" i="2"/>
  <c r="R24" i="2"/>
  <c r="S24" i="2" s="1"/>
  <c r="R23" i="2"/>
  <c r="F22" i="2"/>
  <c r="Q24" i="2"/>
  <c r="E22" i="2"/>
  <c r="Q23" i="2"/>
  <c r="K26" i="8" l="1"/>
  <c r="H21" i="2"/>
  <c r="L24" i="2"/>
  <c r="M24" i="2" s="1"/>
  <c r="H17" i="19"/>
  <c r="H18" i="19" s="1"/>
  <c r="S23" i="2"/>
  <c r="S22" i="2" s="1"/>
  <c r="Q22" i="2" s="1"/>
  <c r="I65" i="6"/>
  <c r="I59" i="6"/>
  <c r="I22" i="22"/>
  <c r="H19" i="19" l="1"/>
  <c r="H15" i="19"/>
  <c r="E19" i="2"/>
  <c r="D19" i="2" s="1"/>
  <c r="E18" i="2"/>
  <c r="D18" i="2" s="1"/>
  <c r="B26" i="3"/>
  <c r="I23" i="2" l="1"/>
  <c r="J23" i="2" s="1"/>
  <c r="B27" i="2"/>
  <c r="B25" i="2"/>
  <c r="K23" i="2" l="1"/>
  <c r="I25" i="16"/>
  <c r="J25" i="16"/>
  <c r="H25" i="16"/>
  <c r="N44" i="6"/>
  <c r="L23" i="2" l="1"/>
  <c r="H26" i="15"/>
  <c r="M23" i="2" l="1"/>
  <c r="K26" i="7"/>
  <c r="G47" i="6" l="1"/>
  <c r="F47" i="6"/>
  <c r="E47" i="6"/>
  <c r="G40" i="6"/>
  <c r="F40" i="6"/>
  <c r="E40" i="6"/>
  <c r="G33" i="6"/>
  <c r="F33" i="6"/>
  <c r="E33" i="6"/>
  <c r="G26" i="6"/>
  <c r="F26" i="6"/>
  <c r="E21" i="6"/>
  <c r="F21" i="6"/>
  <c r="G21" i="6"/>
  <c r="E24" i="6"/>
  <c r="F24" i="6"/>
  <c r="G24" i="6"/>
  <c r="E25" i="6"/>
  <c r="F25" i="6"/>
  <c r="G25" i="6"/>
  <c r="G19" i="6" l="1"/>
  <c r="E19" i="6"/>
  <c r="F19" i="6"/>
  <c r="E34" i="5" l="1"/>
  <c r="B17" i="2"/>
  <c r="B20" i="2"/>
  <c r="I22" i="2"/>
  <c r="E21" i="2"/>
  <c r="F21" i="2"/>
  <c r="D21" i="2"/>
  <c r="A14" i="19"/>
  <c r="A13" i="19"/>
  <c r="A14" i="18"/>
  <c r="A13" i="18"/>
  <c r="J5" i="6"/>
  <c r="J5" i="5"/>
  <c r="I26" i="16"/>
  <c r="J26" i="16"/>
  <c r="H26" i="16"/>
  <c r="B21" i="3"/>
  <c r="D2" i="3"/>
  <c r="A9" i="3"/>
  <c r="B15" i="3"/>
  <c r="B31" i="3"/>
  <c r="I21" i="2" l="1"/>
  <c r="J22" i="2"/>
  <c r="J21" i="2" s="1"/>
  <c r="N43" i="6"/>
  <c r="N30" i="6"/>
  <c r="K26" i="16"/>
  <c r="K22" i="2" l="1"/>
  <c r="K21" i="2"/>
  <c r="L22" i="2"/>
  <c r="N29" i="6"/>
  <c r="I47" i="6"/>
  <c r="J26" i="6"/>
  <c r="L26" i="6" s="1"/>
  <c r="K26" i="6"/>
  <c r="L53" i="6"/>
  <c r="L52" i="6"/>
  <c r="L50" i="6"/>
  <c r="L49" i="6"/>
  <c r="L46" i="6"/>
  <c r="L45" i="6"/>
  <c r="L44" i="6"/>
  <c r="L43" i="6"/>
  <c r="L42" i="6"/>
  <c r="L39" i="6"/>
  <c r="L38" i="6"/>
  <c r="L36" i="6"/>
  <c r="L35" i="6"/>
  <c r="L32" i="6"/>
  <c r="L31" i="6"/>
  <c r="L28" i="6"/>
  <c r="K25" i="6"/>
  <c r="J25" i="6"/>
  <c r="I25" i="6"/>
  <c r="K24" i="6"/>
  <c r="J24" i="6"/>
  <c r="I24" i="6"/>
  <c r="K21" i="6"/>
  <c r="J21" i="6"/>
  <c r="C47" i="6"/>
  <c r="C40" i="6"/>
  <c r="C33" i="6"/>
  <c r="C26" i="6"/>
  <c r="C19" i="6"/>
  <c r="E29" i="5"/>
  <c r="E38" i="5" s="1"/>
  <c r="E26" i="5"/>
  <c r="E25" i="5"/>
  <c r="I34" i="5"/>
  <c r="J25" i="5"/>
  <c r="K25" i="5"/>
  <c r="I25" i="5"/>
  <c r="L18" i="5"/>
  <c r="L24" i="5"/>
  <c r="L28" i="5"/>
  <c r="L33" i="5"/>
  <c r="L37" i="5"/>
  <c r="M22" i="2" l="1"/>
  <c r="M21" i="2" s="1"/>
  <c r="L21" i="2"/>
  <c r="N26" i="6"/>
  <c r="O26" i="6" s="1"/>
  <c r="K65" i="6"/>
  <c r="K59" i="6"/>
  <c r="J65" i="6"/>
  <c r="J59" i="6"/>
  <c r="I68" i="6"/>
  <c r="I62" i="6"/>
  <c r="N25" i="6"/>
  <c r="N24" i="6"/>
  <c r="I32" i="5"/>
  <c r="L29" i="6"/>
  <c r="N40" i="6"/>
  <c r="O40" i="6" s="1"/>
  <c r="N22" i="6"/>
  <c r="L21" i="6"/>
  <c r="L25" i="6"/>
  <c r="L24" i="6"/>
  <c r="L40" i="6"/>
  <c r="L22" i="6"/>
  <c r="I23" i="5"/>
  <c r="K23" i="5"/>
  <c r="J23" i="5"/>
  <c r="L20" i="5"/>
  <c r="L34" i="5"/>
  <c r="L26" i="5"/>
  <c r="L25" i="5"/>
  <c r="A11" i="20"/>
  <c r="A10" i="20"/>
  <c r="K25" i="16"/>
  <c r="H27" i="15"/>
  <c r="I28" i="22"/>
  <c r="L67" i="6" l="1"/>
  <c r="L61" i="6"/>
  <c r="I50" i="5"/>
  <c r="I56" i="5"/>
  <c r="K54" i="5"/>
  <c r="K48" i="5"/>
  <c r="J54" i="5"/>
  <c r="J48" i="5"/>
  <c r="L65" i="6"/>
  <c r="L59" i="6"/>
  <c r="I48" i="5"/>
  <c r="I54" i="5"/>
  <c r="I26" i="15"/>
  <c r="I23" i="22"/>
  <c r="I25" i="22" s="1"/>
  <c r="I29" i="22"/>
  <c r="J23" i="6"/>
  <c r="H28" i="15"/>
  <c r="L23" i="5"/>
  <c r="L21" i="5"/>
  <c r="L32" i="5"/>
  <c r="J55" i="5" l="1"/>
  <c r="J49" i="5"/>
  <c r="M59" i="6"/>
  <c r="M65" i="6"/>
  <c r="M40" i="6"/>
  <c r="L56" i="5"/>
  <c r="L50" i="5"/>
  <c r="M26" i="6"/>
  <c r="L54" i="5"/>
  <c r="L48" i="5"/>
  <c r="K47" i="6"/>
  <c r="J17" i="15"/>
  <c r="I27" i="15"/>
  <c r="L38" i="5"/>
  <c r="L36" i="5" s="1"/>
  <c r="K20" i="17"/>
  <c r="J26" i="15"/>
  <c r="N51" i="6"/>
  <c r="J47" i="6"/>
  <c r="L51" i="6"/>
  <c r="I33" i="6"/>
  <c r="I28" i="15"/>
  <c r="K15" i="15"/>
  <c r="L51" i="5" l="1"/>
  <c r="K29" i="5"/>
  <c r="K23" i="6"/>
  <c r="L23" i="6" s="1"/>
  <c r="J27" i="15"/>
  <c r="J18" i="15"/>
  <c r="K18" i="15" s="1"/>
  <c r="K17" i="15"/>
  <c r="K27" i="15" s="1"/>
  <c r="I19" i="6"/>
  <c r="I66" i="6"/>
  <c r="I60" i="6"/>
  <c r="J68" i="6"/>
  <c r="J62" i="6"/>
  <c r="K68" i="6"/>
  <c r="K62" i="6"/>
  <c r="L57" i="5"/>
  <c r="K26" i="15"/>
  <c r="N47" i="6"/>
  <c r="O47" i="6" s="1"/>
  <c r="L47" i="6"/>
  <c r="J33" i="6"/>
  <c r="L29" i="5" l="1"/>
  <c r="L37" i="6"/>
  <c r="K33" i="6"/>
  <c r="K66" i="6" s="1"/>
  <c r="N37" i="6"/>
  <c r="K24" i="15"/>
  <c r="K28" i="15" s="1"/>
  <c r="J28" i="15"/>
  <c r="K49" i="5"/>
  <c r="K55" i="5"/>
  <c r="J19" i="6"/>
  <c r="J66" i="6"/>
  <c r="J60" i="6"/>
  <c r="M47" i="6"/>
  <c r="L68" i="6"/>
  <c r="L62" i="6"/>
  <c r="N33" i="6"/>
  <c r="N23" i="6"/>
  <c r="L19" i="5"/>
  <c r="L27" i="5"/>
  <c r="L17" i="5"/>
  <c r="K19" i="6" l="1"/>
  <c r="L19" i="6" s="1"/>
  <c r="M19" i="6" s="1"/>
  <c r="K60" i="6"/>
  <c r="L33" i="6"/>
  <c r="L60" i="6" s="1"/>
  <c r="O33" i="6"/>
  <c r="L55" i="5"/>
  <c r="L49" i="5"/>
  <c r="M62" i="6"/>
  <c r="M68" i="6"/>
  <c r="N19" i="6" l="1"/>
  <c r="O19" i="6" s="1"/>
  <c r="M33" i="6"/>
  <c r="L66" i="6"/>
</calcChain>
</file>

<file path=xl/sharedStrings.xml><?xml version="1.0" encoding="utf-8"?>
<sst xmlns="http://schemas.openxmlformats.org/spreadsheetml/2006/main" count="792" uniqueCount="283">
  <si>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</si>
  <si>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</si>
  <si>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</si>
  <si>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</si>
  <si>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</si>
  <si>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</si>
  <si>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</si>
  <si>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</si>
  <si>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</si>
  <si>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</si>
  <si>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</si>
  <si>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</si>
  <si>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</si>
  <si>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</si>
  <si>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</si>
  <si>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</si>
  <si>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</si>
  <si>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</si>
  <si>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</si>
  <si>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</si>
  <si>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</si>
  <si>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</si>
  <si>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</si>
  <si>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</si>
  <si>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</si>
  <si>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</si>
  <si>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</si>
  <si>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</si>
  <si>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</si>
  <si>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</si>
  <si>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</si>
  <si>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</si>
  <si>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</si>
  <si>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</si>
  <si>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</si>
  <si>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</si>
  <si>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</si>
  <si>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</si>
  <si>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</si>
  <si>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</si>
  <si>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</si>
  <si>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</si>
  <si>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</si>
  <si>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</si>
  <si>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</si>
  <si>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</si>
  <si>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</si>
  <si>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</si>
  <si>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</si>
  <si>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</si>
  <si>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</si>
  <si>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</si>
  <si>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</si>
  <si>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</si>
  <si>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</si>
  <si>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</si>
  <si>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</si>
  <si>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</si>
  <si>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</si>
  <si>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</si>
  <si>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</si>
  <si>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</si>
  <si>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</si>
  <si>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</si>
  <si>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</si>
  <si>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</si>
  <si>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</si>
  <si>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0930074920</t>
  </si>
  <si>
    <t>мероприятий подпрограммы 3 «Безопасность дорожного движения в Туруханском районе»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</si>
  <si>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</si>
  <si>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</si>
  <si>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</si>
  <si>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</si>
  <si>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</si>
  <si>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</si>
  <si>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</si>
  <si>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</si>
  <si>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</si>
  <si>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</si>
  <si>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</si>
  <si>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</si>
  <si>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</si>
  <si>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</si>
  <si>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</si>
  <si>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</si>
  <si>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</si>
  <si>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</si>
  <si>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</si>
  <si>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</si>
  <si>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</si>
  <si>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</si>
  <si>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</si>
  <si>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</si>
  <si>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</si>
  <si>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</si>
  <si>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</si>
  <si>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</si>
  <si>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</si>
  <si>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</si>
  <si>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</si>
  <si>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</si>
  <si>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</si>
  <si>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</si>
  <si>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</si>
  <si>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</si>
  <si>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</si>
  <si>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</si>
  <si>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</si>
  <si>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</si>
  <si>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</si>
  <si>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постановление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</si>
  <si>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</si>
  <si>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</si>
  <si>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</si>
  <si>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</si>
  <si>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</si>
  <si>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</si>
  <si>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</si>
  <si>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</si>
  <si>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</si>
  <si>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</si>
  <si>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</si>
  <si>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</si>
  <si>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</si>
  <si>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</si>
  <si>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</si>
  <si>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</si>
  <si>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</si>
  <si>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</si>
  <si>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</si>
  <si>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</si>
  <si>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</si>
  <si>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</si>
  <si>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</si>
  <si>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</si>
  <si>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</si>
  <si>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</si>
  <si>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</si>
  <si>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Формирование доступного уровня тарифов для всех категорий населения, путем субсидирования до 30% затрат.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</si>
  <si>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</si>
  <si>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</si>
  <si>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</si>
  <si>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</si>
  <si>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 xml:space="preserve">Транспортный риск (число лиц, погибших в дорожно-транспортных происшествиях, на 10 тыс. транспортных средств)
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</si>
  <si>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</si>
  <si>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</si>
  <si>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</si>
  <si>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</si>
  <si>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</si>
  <si>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</si>
  <si>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</si>
  <si>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</si>
  <si>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Задача муниципальной программы Туруханского района: обеспечение доступности внутризоновой, междугородней и международной связи и модернизация существующей телефонной сети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</si>
  <si>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</si>
  <si>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</si>
  <si>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</si>
  <si>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</si>
  <si>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</si>
  <si>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</si>
  <si>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</si>
  <si>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март 2017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</si>
  <si>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</si>
  <si>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</si>
  <si>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</si>
  <si>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</si>
  <si>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</si>
  <si>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</si>
  <si>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</si>
  <si>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6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</si>
  <si>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</si>
  <si>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</si>
  <si>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</si>
  <si>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</si>
  <si>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</si>
  <si>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</si>
  <si>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</si>
  <si>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</si>
  <si>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</si>
  <si>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</si>
  <si>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</si>
  <si>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</si>
  <si>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</si>
  <si>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</si>
  <si>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</si>
  <si>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</si>
  <si>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</si>
  <si>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</si>
  <si>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</si>
  <si>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</si>
  <si>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</si>
  <si>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</si>
  <si>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</si>
  <si>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</si>
  <si>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</si>
  <si>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</si>
  <si>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</si>
  <si>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</si>
  <si>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</si>
  <si>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</si>
  <si>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</si>
  <si>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</si>
  <si>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</si>
  <si>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</si>
  <si>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</si>
  <si>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</si>
  <si>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</si>
  <si>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</si>
  <si>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</si>
  <si>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</si>
  <si>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</si>
  <si>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</si>
  <si>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</si>
  <si>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</si>
  <si>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</si>
  <si>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</si>
  <si>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тыс. рублей</t>
  </si>
  <si>
    <t>Расходы бюджетов муниципальных образований на реализацию мероприятий, направленных на повышение безопасности дорожного движения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</si>
  <si>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</si>
  <si>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</si>
  <si>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</si>
  <si>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</si>
  <si>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</si>
  <si>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</si>
  <si>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</t>
  </si>
  <si>
    <t>Расходы на содержание автомобильных дорог общего пользования местного значения за счет средств дорожного фонда Красноярского края</t>
  </si>
  <si>
    <t>С начала периода речной навигации года, в течение которого реализуется мероприятие</t>
  </si>
  <si>
    <t>сумма, тыс. руб.</t>
  </si>
  <si>
    <t>IV квартал года, в течение которого реализуется мероприятие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</si>
  <si>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</si>
  <si>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</si>
  <si>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</si>
  <si>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</si>
  <si>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0910075080</t>
  </si>
  <si>
    <t>0910075090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</si>
  <si>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</si>
  <si>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</si>
  <si>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</si>
  <si>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</si>
  <si>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</si>
  <si>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</si>
  <si>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</si>
  <si>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</si>
  <si>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число транспортных средств</t>
  </si>
  <si>
    <t>декабрь 2017</t>
  </si>
  <si>
    <t>ноябрь 2017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</si>
  <si>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</si>
  <si>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</si>
  <si>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</si>
  <si>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Определяется 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</si>
  <si>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</si>
  <si>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</si>
  <si>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</si>
  <si>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</si>
  <si>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</si>
  <si>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</si>
  <si>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Подготовка межевого плана межселенной автомобильной дороги с.Туруханск-д.Селиваниха (Дорожный фонд)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</si>
  <si>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</si>
  <si>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</si>
  <si>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0940076450</t>
  </si>
  <si>
    <t>09400S6450</t>
  </si>
  <si>
    <t>0410</t>
  </si>
  <si>
    <t>Постановка автомобильной дороги на кадастровый учет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</si>
  <si>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</si>
  <si>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</si>
  <si>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</si>
  <si>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2
к постановлению 
администрации  Туруханского района 
от___________№__________-п</t>
  </si>
  <si>
    <t>Приложение № 3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</si>
  <si>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</si>
  <si>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</si>
  <si>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</si>
  <si>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</si>
  <si>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</si>
  <si>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</si>
  <si>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-</t>
  </si>
  <si>
    <t>Приложение № 5
к постановлению 
администрации  Туруханского района 
от___________№__________-п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</si>
  <si>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</si>
  <si>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t>3.2.</t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</si>
  <si>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</si>
  <si>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</si>
  <si>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</si>
  <si>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Приложение № 1
к постановлению 
администрации  Туруханского района 
от03.12.2018 №1310-п</t>
  </si>
  <si>
    <t>Приложение № 2
к постановлению 
администрации  Туруханского района 
от03.12.2018 №1310 -п</t>
  </si>
  <si>
    <t>Приложение № 3
к постановлению 
администрации  Туруханского района 
от03.12.2018 №1310-п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</si>
</sst>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#,##0.000_ ;\-#,##0.000\ "/>
    <numFmt numFmtId="168" formatCode="#,##0.000"/>
    <numFmt numFmtId="169" formatCode="0.0"/>
    <numFmt numFmtId="170" formatCode="_-* #,##0.000_р_._-;\-* #,##0.000_р_._-;_-* &quot;-&quot;???_р_._-;_-@_-"/>
    <numFmt numFmtId="171" formatCode="0.000"/>
    <numFmt numFmtId="172" formatCode="_-* #,##0.0_р_._-;\-* #,##0.0_р_._-;_-* &quot;-&quot;??_р_._-;_-@_-"/>
    <numFmt numFmtId="173" formatCode="0.0000"/>
  </numFmts>
  <fonts count="23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2"/>
      <charset val="204"/>
    </font>
    <font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vertAlign val="superscript"/>
      <sz val="12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30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43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43" fontId="2" fillId="0" borderId="0" xfId="0" applyNumberFormat="1" applyFo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/>
    <xf numFmtId="166" fontId="2" fillId="0" borderId="1" xfId="2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indent="2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0" xfId="0" applyFont="1"/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13" fillId="0" borderId="1" xfId="2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/>
    <xf numFmtId="43" fontId="16" fillId="0" borderId="0" xfId="0" applyNumberFormat="1" applyFont="1"/>
    <xf numFmtId="164" fontId="2" fillId="0" borderId="1" xfId="2" applyNumberFormat="1" applyFont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horizontal="left" vertical="center" wrapText="1"/>
    </xf>
    <xf numFmtId="2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2" applyFont="1" applyFill="1" applyBorder="1" applyAlignment="1">
      <alignment vertical="center" wrapText="1"/>
    </xf>
    <xf numFmtId="167" fontId="3" fillId="0" borderId="0" xfId="2" applyNumberFormat="1" applyFont="1"/>
    <xf numFmtId="168" fontId="6" fillId="4" borderId="1" xfId="2" applyNumberFormat="1" applyFont="1" applyFill="1" applyBorder="1" applyAlignment="1">
      <alignment vertical="center" wrapText="1"/>
    </xf>
    <xf numFmtId="168" fontId="6" fillId="0" borderId="1" xfId="2" applyNumberFormat="1" applyFont="1" applyBorder="1" applyAlignment="1">
      <alignment vertical="center" wrapText="1"/>
    </xf>
    <xf numFmtId="168" fontId="3" fillId="0" borderId="0" xfId="0" applyNumberFormat="1" applyFont="1"/>
    <xf numFmtId="168" fontId="3" fillId="0" borderId="0" xfId="2" applyNumberFormat="1" applyFont="1"/>
    <xf numFmtId="168" fontId="4" fillId="4" borderId="1" xfId="2" applyNumberFormat="1" applyFont="1" applyFill="1" applyBorder="1" applyAlignment="1">
      <alignment vertical="center" wrapText="1"/>
    </xf>
    <xf numFmtId="168" fontId="4" fillId="0" borderId="1" xfId="2" applyNumberFormat="1" applyFont="1" applyBorder="1" applyAlignment="1">
      <alignment vertical="center" wrapText="1"/>
    </xf>
    <xf numFmtId="168" fontId="2" fillId="4" borderId="1" xfId="2" applyNumberFormat="1" applyFont="1" applyFill="1" applyBorder="1" applyAlignment="1">
      <alignment vertical="center" wrapText="1"/>
    </xf>
    <xf numFmtId="168" fontId="2" fillId="4" borderId="1" xfId="2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43" fontId="12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3" fontId="18" fillId="0" borderId="1" xfId="0" applyNumberFormat="1" applyFont="1" applyBorder="1" applyAlignment="1">
      <alignment horizontal="right" vertical="center" wrapText="1"/>
    </xf>
    <xf numFmtId="170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 wrapText="1"/>
    </xf>
    <xf numFmtId="2" fontId="19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3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64" fontId="8" fillId="5" borderId="1" xfId="2" applyNumberFormat="1" applyFont="1" applyFill="1" applyBorder="1" applyAlignment="1">
      <alignment horizontal="left" vertical="center" wrapText="1"/>
    </xf>
    <xf numFmtId="170" fontId="2" fillId="0" borderId="0" xfId="0" applyNumberFormat="1" applyFont="1"/>
    <xf numFmtId="49" fontId="8" fillId="3" borderId="1" xfId="0" applyNumberFormat="1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vertical="center" wrapText="1"/>
    </xf>
    <xf numFmtId="0" fontId="0" fillId="0" borderId="1" xfId="0" applyBorder="1"/>
    <xf numFmtId="0" fontId="12" fillId="0" borderId="1" xfId="0" applyFont="1" applyBorder="1" applyAlignment="1">
      <alignment horizontal="left" vertical="center" wrapText="1"/>
    </xf>
    <xf numFmtId="168" fontId="3" fillId="0" borderId="12" xfId="0" applyNumberFormat="1" applyFont="1" applyBorder="1"/>
    <xf numFmtId="168" fontId="3" fillId="0" borderId="12" xfId="2" applyNumberFormat="1" applyFont="1" applyBorder="1"/>
    <xf numFmtId="0" fontId="3" fillId="0" borderId="12" xfId="0" applyFont="1" applyBorder="1"/>
    <xf numFmtId="168" fontId="3" fillId="0" borderId="0" xfId="0" applyNumberFormat="1" applyFont="1" applyBorder="1"/>
    <xf numFmtId="168" fontId="3" fillId="0" borderId="0" xfId="2" applyNumberFormat="1" applyFont="1" applyBorder="1"/>
    <xf numFmtId="0" fontId="3" fillId="0" borderId="0" xfId="0" applyFont="1" applyBorder="1"/>
    <xf numFmtId="168" fontId="3" fillId="0" borderId="11" xfId="0" applyNumberFormat="1" applyFont="1" applyBorder="1"/>
    <xf numFmtId="168" fontId="3" fillId="0" borderId="11" xfId="2" applyNumberFormat="1" applyFont="1" applyBorder="1"/>
    <xf numFmtId="0" fontId="3" fillId="0" borderId="11" xfId="0" applyFont="1" applyBorder="1"/>
    <xf numFmtId="168" fontId="9" fillId="0" borderId="12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171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172" fontId="13" fillId="0" borderId="1" xfId="2" applyNumberFormat="1" applyFont="1" applyBorder="1" applyAlignment="1">
      <alignment vertical="center" wrapText="1"/>
    </xf>
    <xf numFmtId="172" fontId="13" fillId="0" borderId="1" xfId="2" applyNumberFormat="1" applyFont="1" applyBorder="1" applyAlignment="1">
      <alignment vertical="center"/>
    </xf>
    <xf numFmtId="172" fontId="14" fillId="0" borderId="1" xfId="2" applyNumberFormat="1" applyFont="1" applyBorder="1"/>
    <xf numFmtId="43" fontId="2" fillId="0" borderId="1" xfId="2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71" fontId="13" fillId="0" borderId="1" xfId="2" applyNumberFormat="1" applyFont="1" applyBorder="1" applyAlignment="1">
      <alignment horizontal="center" vertical="center" wrapText="1"/>
    </xf>
    <xf numFmtId="171" fontId="13" fillId="2" borderId="1" xfId="2" applyNumberFormat="1" applyFont="1" applyFill="1" applyBorder="1" applyAlignment="1">
      <alignment horizontal="center" vertical="center" wrapText="1"/>
    </xf>
    <xf numFmtId="171" fontId="13" fillId="2" borderId="1" xfId="0" applyNumberFormat="1" applyFont="1" applyFill="1" applyBorder="1" applyAlignment="1">
      <alignment horizontal="center" vertical="center" wrapText="1"/>
    </xf>
    <xf numFmtId="164" fontId="13" fillId="0" borderId="1" xfId="2" applyNumberFormat="1" applyFont="1" applyBorder="1" applyAlignment="1">
      <alignment horizontal="center" vertical="center" wrapText="1"/>
    </xf>
    <xf numFmtId="164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173" fontId="13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43" fontId="13" fillId="0" borderId="1" xfId="2" applyFont="1" applyBorder="1" applyAlignment="1">
      <alignment horizontal="center" vertical="center" wrapText="1"/>
    </xf>
    <xf numFmtId="43" fontId="8" fillId="3" borderId="1" xfId="2" applyFont="1" applyFill="1" applyBorder="1" applyAlignment="1">
      <alignment horizontal="center" vertical="center" wrapText="1"/>
    </xf>
    <xf numFmtId="172" fontId="0" fillId="0" borderId="0" xfId="0" applyNumberForma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1" fillId="4" borderId="1" xfId="0" applyNumberFormat="1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1" fontId="21" fillId="4" borderId="1" xfId="0" applyNumberFormat="1" applyFont="1" applyFill="1" applyBorder="1" applyAlignment="1">
      <alignment vertical="center" wrapText="1"/>
    </xf>
    <xf numFmtId="43" fontId="4" fillId="0" borderId="1" xfId="2" applyNumberFormat="1" applyFont="1" applyFill="1" applyBorder="1" applyAlignment="1">
      <alignment vertical="center" wrapText="1"/>
    </xf>
    <xf numFmtId="172" fontId="4" fillId="0" borderId="1" xfId="2" applyNumberFormat="1" applyFont="1" applyFill="1" applyBorder="1" applyAlignment="1">
      <alignment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2" fillId="0" borderId="1" xfId="3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21" fillId="4" borderId="2" xfId="0" applyNumberFormat="1" applyFont="1" applyFill="1" applyBorder="1" applyAlignment="1">
      <alignment vertical="center" wrapText="1"/>
    </xf>
    <xf numFmtId="2" fontId="21" fillId="4" borderId="4" xfId="0" applyNumberFormat="1" applyFont="1" applyFill="1" applyBorder="1" applyAlignment="1">
      <alignment vertical="center" wrapText="1"/>
    </xf>
    <xf numFmtId="166" fontId="2" fillId="0" borderId="5" xfId="2" applyNumberFormat="1" applyFont="1" applyFill="1" applyBorder="1" applyAlignment="1">
      <alignment vertical="center" wrapText="1"/>
    </xf>
    <xf numFmtId="2" fontId="21" fillId="4" borderId="7" xfId="0" applyNumberFormat="1" applyFont="1" applyFill="1" applyBorder="1" applyAlignment="1">
      <alignment vertical="center" wrapText="1"/>
    </xf>
    <xf numFmtId="2" fontId="21" fillId="4" borderId="13" xfId="0" applyNumberFormat="1" applyFont="1" applyFill="1" applyBorder="1" applyAlignment="1">
      <alignment vertical="center" wrapText="1"/>
    </xf>
    <xf numFmtId="2" fontId="21" fillId="4" borderId="14" xfId="0" applyNumberFormat="1" applyFont="1" applyFill="1" applyBorder="1" applyAlignment="1">
      <alignment vertical="center" wrapText="1"/>
    </xf>
    <xf numFmtId="2" fontId="21" fillId="4" borderId="15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0"/>
  <sheetViews>
    <sheetView view="pageBreakPreview" zoomScale="85" zoomScaleNormal="70" zoomScaleSheetLayoutView="85" workbookViewId="0">
      <selection activeCell="J1" sqref="J1:M1"/>
    </sheetView>
  </sheetViews>
  <sheetFormatPr defaultRowHeight="15.75" outlineLevelRow="1" x14ac:dyDescent="0.25"/>
  <cols>
    <col min="1" max="1" width="6.375" style="4" customWidth="1"/>
    <col min="2" max="2" width="24.375" style="1" customWidth="1"/>
    <col min="3" max="3" width="11.75" style="1" customWidth="1"/>
    <col min="4" max="4" width="8.875" style="1" customWidth="1"/>
    <col min="5" max="5" width="12" style="1" customWidth="1"/>
    <col min="6" max="6" width="12.25" style="1" customWidth="1"/>
    <col min="7" max="7" width="11" style="1" customWidth="1"/>
    <col min="8" max="8" width="13.25" style="1" customWidth="1"/>
    <col min="9" max="11" width="10.25" style="1" customWidth="1"/>
    <col min="12" max="13" width="14.875" style="1" customWidth="1"/>
    <col min="14" max="16384" width="9" style="1"/>
  </cols>
  <sheetData>
    <row r="1" spans="1:13" ht="75.75" customHeight="1" x14ac:dyDescent="0.25">
      <c r="J1" s="234" t="s">
        <v>280</v>
      </c>
      <c r="K1" s="234"/>
      <c r="L1" s="234"/>
      <c r="M1" s="234"/>
    </row>
    <row r="4" spans="1:13" ht="18.75" x14ac:dyDescent="0.25">
      <c r="J4" s="3" t="s">
        <v>10</v>
      </c>
      <c r="K4" s="3"/>
      <c r="L4" s="32"/>
      <c r="M4" s="32"/>
    </row>
    <row r="5" spans="1:13" ht="56.25" customHeight="1" x14ac:dyDescent="0.25">
      <c r="J5" s="235" t="s">
        <v>141</v>
      </c>
      <c r="K5" s="235"/>
      <c r="L5" s="235"/>
      <c r="M5" s="235"/>
    </row>
    <row r="8" spans="1:13" ht="18.75" x14ac:dyDescent="0.25">
      <c r="A8" s="238" t="s">
        <v>1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</row>
    <row r="9" spans="1:13" ht="18.75" x14ac:dyDescent="0.25">
      <c r="A9" s="238" t="s">
        <v>9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</row>
    <row r="10" spans="1:13" ht="18.75" x14ac:dyDescent="0.25">
      <c r="A10" s="238" t="s">
        <v>7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</row>
    <row r="11" spans="1:13" ht="18.75" x14ac:dyDescent="0.25">
      <c r="A11" s="238" t="s">
        <v>8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</row>
    <row r="12" spans="1:13" ht="18.75" x14ac:dyDescent="0.25">
      <c r="A12" s="2"/>
    </row>
    <row r="13" spans="1:13" ht="24.75" customHeight="1" x14ac:dyDescent="0.25">
      <c r="A13" s="239" t="s">
        <v>19</v>
      </c>
      <c r="B13" s="239" t="s">
        <v>4</v>
      </c>
      <c r="C13" s="239" t="s">
        <v>2</v>
      </c>
      <c r="D13" s="239" t="s">
        <v>91</v>
      </c>
      <c r="E13" s="239" t="s">
        <v>5</v>
      </c>
      <c r="F13" s="239"/>
      <c r="G13" s="239"/>
      <c r="H13" s="239"/>
      <c r="I13" s="239"/>
      <c r="J13" s="239"/>
      <c r="K13" s="239"/>
      <c r="L13" s="239"/>
      <c r="M13" s="239"/>
    </row>
    <row r="14" spans="1:13" ht="72" customHeight="1" x14ac:dyDescent="0.25">
      <c r="A14" s="239"/>
      <c r="B14" s="239"/>
      <c r="C14" s="239"/>
      <c r="D14" s="239"/>
      <c r="E14" s="239" t="s">
        <v>56</v>
      </c>
      <c r="F14" s="239" t="s">
        <v>57</v>
      </c>
      <c r="G14" s="240" t="s">
        <v>61</v>
      </c>
      <c r="H14" s="239" t="s">
        <v>53</v>
      </c>
      <c r="I14" s="239" t="s">
        <v>54</v>
      </c>
      <c r="J14" s="239" t="s">
        <v>55</v>
      </c>
      <c r="K14" s="239" t="s">
        <v>58</v>
      </c>
      <c r="L14" s="245" t="s">
        <v>6</v>
      </c>
      <c r="M14" s="245"/>
    </row>
    <row r="15" spans="1:13" x14ac:dyDescent="0.25">
      <c r="A15" s="239"/>
      <c r="B15" s="239"/>
      <c r="C15" s="239"/>
      <c r="D15" s="239"/>
      <c r="E15" s="239"/>
      <c r="F15" s="239"/>
      <c r="G15" s="240"/>
      <c r="H15" s="239"/>
      <c r="I15" s="239"/>
      <c r="J15" s="239"/>
      <c r="K15" s="239"/>
      <c r="L15" s="154" t="s">
        <v>59</v>
      </c>
      <c r="M15" s="154" t="s">
        <v>60</v>
      </c>
    </row>
    <row r="16" spans="1:13" x14ac:dyDescent="0.25">
      <c r="A16" s="154">
        <v>1</v>
      </c>
      <c r="B16" s="154">
        <v>2</v>
      </c>
      <c r="C16" s="154">
        <v>3</v>
      </c>
      <c r="D16" s="154">
        <v>4</v>
      </c>
      <c r="E16" s="154">
        <v>5</v>
      </c>
      <c r="F16" s="154">
        <v>6</v>
      </c>
      <c r="G16" s="154">
        <v>7</v>
      </c>
      <c r="H16" s="154">
        <v>8</v>
      </c>
      <c r="I16" s="154">
        <v>9</v>
      </c>
      <c r="J16" s="154">
        <v>10</v>
      </c>
      <c r="K16" s="154">
        <v>11</v>
      </c>
      <c r="L16" s="154">
        <v>13</v>
      </c>
      <c r="M16" s="154">
        <v>14</v>
      </c>
    </row>
    <row r="17" spans="1:20" s="35" customFormat="1" x14ac:dyDescent="0.25">
      <c r="A17" s="155">
        <v>1</v>
      </c>
      <c r="B17" s="244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</row>
    <row r="18" spans="1:20" s="35" customFormat="1" ht="71.25" customHeight="1" x14ac:dyDescent="0.25">
      <c r="A18" s="242" t="s">
        <v>3</v>
      </c>
      <c r="B18" s="243" t="s">
        <v>137</v>
      </c>
      <c r="C18" s="155" t="s">
        <v>71</v>
      </c>
      <c r="D18" s="81">
        <f>E18</f>
        <v>120.8</v>
      </c>
      <c r="E18" s="76">
        <f>F18</f>
        <v>120.8</v>
      </c>
      <c r="F18" s="76">
        <v>120.8</v>
      </c>
      <c r="G18" s="76">
        <v>130.023</v>
      </c>
      <c r="H18" s="76">
        <v>156.34</v>
      </c>
      <c r="I18" s="203">
        <v>157</v>
      </c>
      <c r="J18" s="203">
        <f>I18</f>
        <v>157</v>
      </c>
      <c r="K18" s="203">
        <f t="shared" ref="K18:M19" si="0">J18</f>
        <v>157</v>
      </c>
      <c r="L18" s="203">
        <f t="shared" si="0"/>
        <v>157</v>
      </c>
      <c r="M18" s="203">
        <f t="shared" si="0"/>
        <v>157</v>
      </c>
    </row>
    <row r="19" spans="1:20" s="35" customFormat="1" ht="71.25" customHeight="1" x14ac:dyDescent="0.25">
      <c r="A19" s="242"/>
      <c r="B19" s="243"/>
      <c r="C19" s="155" t="s">
        <v>136</v>
      </c>
      <c r="D19" s="100">
        <f>E19</f>
        <v>46.39</v>
      </c>
      <c r="E19" s="100">
        <f>F19</f>
        <v>46.39</v>
      </c>
      <c r="F19" s="100">
        <v>46.39</v>
      </c>
      <c r="G19" s="100">
        <v>47.52</v>
      </c>
      <c r="H19" s="100">
        <v>57.14</v>
      </c>
      <c r="I19" s="204">
        <v>57.3</v>
      </c>
      <c r="J19" s="203">
        <f>I19</f>
        <v>57.3</v>
      </c>
      <c r="K19" s="203">
        <f t="shared" si="0"/>
        <v>57.3</v>
      </c>
      <c r="L19" s="203">
        <f t="shared" si="0"/>
        <v>57.3</v>
      </c>
      <c r="M19" s="203">
        <f t="shared" si="0"/>
        <v>57.3</v>
      </c>
    </row>
    <row r="20" spans="1:20" x14ac:dyDescent="0.25">
      <c r="A20" s="91">
        <v>2</v>
      </c>
      <c r="B20" s="241" t="str">
        <f>'пр 5 к МП'!B19:E19</f>
        <v>Цель муниципальной программы Туруханского района: повышение доступности транспортных услуг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</row>
    <row r="21" spans="1:20" s="35" customFormat="1" ht="92.25" customHeight="1" x14ac:dyDescent="0.25">
      <c r="A21" s="196" t="s">
        <v>86</v>
      </c>
      <c r="B21" s="197" t="s">
        <v>275</v>
      </c>
      <c r="C21" s="198" t="s">
        <v>124</v>
      </c>
      <c r="D21" s="42">
        <f t="shared" ref="D21:I21" si="1">(D22+D23)*1000/D24</f>
        <v>13.264339719174577</v>
      </c>
      <c r="E21" s="42">
        <f t="shared" si="1"/>
        <v>13.638444873821653</v>
      </c>
      <c r="F21" s="42">
        <f t="shared" si="1"/>
        <v>14.499670875471246</v>
      </c>
      <c r="G21" s="42">
        <f t="shared" si="1"/>
        <v>14.813858612920903</v>
      </c>
      <c r="H21" s="229">
        <f t="shared" si="1"/>
        <v>11.721278968893298</v>
      </c>
      <c r="I21" s="229">
        <f t="shared" si="1"/>
        <v>11.882375165291858</v>
      </c>
      <c r="J21" s="229">
        <f>(J22+J23)*1000/J24</f>
        <v>12.074737650371128</v>
      </c>
      <c r="K21" s="229">
        <f>(K22+K23)*1000/K24</f>
        <v>12.081662988239064</v>
      </c>
      <c r="L21" s="42">
        <f t="shared" ref="L21:M21" si="2">(L22+L23)*1000/L24</f>
        <v>12.081662988239064</v>
      </c>
      <c r="M21" s="42">
        <f t="shared" si="2"/>
        <v>12.081662988239064</v>
      </c>
    </row>
    <row r="22" spans="1:20" s="41" customFormat="1" ht="32.25" hidden="1" outlineLevel="1" thickBot="1" x14ac:dyDescent="0.3">
      <c r="A22" s="37"/>
      <c r="B22" s="38" t="s">
        <v>153</v>
      </c>
      <c r="C22" s="39" t="s">
        <v>79</v>
      </c>
      <c r="D22" s="56">
        <v>9.3330000000000002</v>
      </c>
      <c r="E22" s="56">
        <f>(777+712+747+993+692+638+635+689+608+702+764+974)/1000</f>
        <v>8.9309999999999992</v>
      </c>
      <c r="F22" s="56">
        <f>(667+666+804+826+713+647+657+674+580+594+714+762)/1000</f>
        <v>8.3040000000000003</v>
      </c>
      <c r="G22" s="227">
        <v>8.2880000000000003</v>
      </c>
      <c r="H22" s="231">
        <f>'пр к пасп ПП2'!E15</f>
        <v>7.5739999999999998</v>
      </c>
      <c r="I22" s="232">
        <f>'пр к пасп ПП2'!F15</f>
        <v>7.12</v>
      </c>
      <c r="J22" s="232">
        <f>'пр к пасп ПП2'!G15</f>
        <v>7.12</v>
      </c>
      <c r="K22" s="233">
        <f>'пр к пасп ПП2'!H15</f>
        <v>7.12</v>
      </c>
      <c r="L22" s="228">
        <f>L23/K23*K22</f>
        <v>6.6352812784201634</v>
      </c>
      <c r="M22" s="199">
        <f t="shared" ref="M22" si="3">M23/L23*L22</f>
        <v>6.2148525399506305</v>
      </c>
      <c r="N22" s="35"/>
      <c r="Q22" s="41">
        <f>R22/S22</f>
        <v>8750.4156067643489</v>
      </c>
      <c r="R22" s="41">
        <f>745+450+643+899+919+825+673+707</f>
        <v>5861</v>
      </c>
      <c r="S22" s="41">
        <f>AVERAGE(S23:S24)</f>
        <v>0.66979675747849754</v>
      </c>
      <c r="T22" s="41">
        <f>700*5</f>
        <v>3500</v>
      </c>
    </row>
    <row r="23" spans="1:20" s="41" customFormat="1" ht="31.5" hidden="1" outlineLevel="1" x14ac:dyDescent="0.25">
      <c r="A23" s="37"/>
      <c r="B23" s="38" t="s">
        <v>154</v>
      </c>
      <c r="C23" s="39" t="s">
        <v>79</v>
      </c>
      <c r="D23" s="56">
        <v>224</v>
      </c>
      <c r="E23" s="56">
        <v>224</v>
      </c>
      <c r="F23" s="56">
        <v>234</v>
      </c>
      <c r="G23" s="199">
        <v>235</v>
      </c>
      <c r="H23" s="230">
        <v>181.584</v>
      </c>
      <c r="I23" s="230">
        <f>H23</f>
        <v>181.584</v>
      </c>
      <c r="J23" s="230">
        <f>I23</f>
        <v>181.584</v>
      </c>
      <c r="K23" s="230">
        <f>K24/J24*J23</f>
        <v>178.86512004095215</v>
      </c>
      <c r="L23" s="199">
        <f>L24/K24*K23</f>
        <v>166.68825595085744</v>
      </c>
      <c r="M23" s="199">
        <f t="shared" ref="M23" si="4">M24/L24*L23</f>
        <v>156.12645303301767</v>
      </c>
      <c r="N23" s="35"/>
      <c r="Q23" s="41">
        <f>777+712+747+993+692+638+635+689+608+702+764+974</f>
        <v>8931</v>
      </c>
      <c r="R23" s="41">
        <f>777+712+747+993+692+638+635+689</f>
        <v>5883</v>
      </c>
      <c r="S23" s="41">
        <f>R23/Q23</f>
        <v>0.65871682902250583</v>
      </c>
    </row>
    <row r="24" spans="1:20" s="41" customFormat="1" ht="31.5" hidden="1" outlineLevel="1" x14ac:dyDescent="0.25">
      <c r="A24" s="37"/>
      <c r="B24" s="38" t="s">
        <v>126</v>
      </c>
      <c r="C24" s="39" t="s">
        <v>84</v>
      </c>
      <c r="D24" s="40">
        <v>17591</v>
      </c>
      <c r="E24" s="40">
        <v>17079</v>
      </c>
      <c r="F24" s="40">
        <v>16711</v>
      </c>
      <c r="G24" s="200">
        <v>16423</v>
      </c>
      <c r="H24" s="200">
        <v>16138</v>
      </c>
      <c r="I24" s="200">
        <v>15881</v>
      </c>
      <c r="J24" s="200">
        <v>15628</v>
      </c>
      <c r="K24" s="201">
        <f>ROUND(J24*(100-1.5)/100,0)</f>
        <v>15394</v>
      </c>
      <c r="L24" s="201">
        <f>ROUND(K24*((100-1.4)/100)^5,0)</f>
        <v>14346</v>
      </c>
      <c r="M24" s="201">
        <f>ROUND(L24*((100-1.3)/100)^5,0)</f>
        <v>13437</v>
      </c>
      <c r="N24" s="35"/>
      <c r="Q24" s="41">
        <f>667+666+804+826+713+647+657+674+580+594+714+762</f>
        <v>8304</v>
      </c>
      <c r="R24" s="41">
        <f>667+666+804+826+713+647+657+674</f>
        <v>5654</v>
      </c>
      <c r="S24" s="41">
        <f>R24/Q24</f>
        <v>0.68087668593448936</v>
      </c>
    </row>
    <row r="25" spans="1:20" ht="15.75" customHeight="1" collapsed="1" x14ac:dyDescent="0.25">
      <c r="A25" s="91">
        <v>3</v>
      </c>
      <c r="B25" s="241" t="str">
        <f>'пр 5 к МП'!B24:E24</f>
        <v>Цель муниципальной программы Туруханского района: повышение безопасности дорожного движения</v>
      </c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35"/>
    </row>
    <row r="26" spans="1:20" ht="54" customHeight="1" x14ac:dyDescent="0.25">
      <c r="A26" s="31" t="s">
        <v>118</v>
      </c>
      <c r="B26" s="92" t="s">
        <v>83</v>
      </c>
      <c r="C26" s="91" t="s">
        <v>84</v>
      </c>
      <c r="D26" s="92">
        <v>2</v>
      </c>
      <c r="E26" s="92">
        <v>1</v>
      </c>
      <c r="F26" s="92">
        <v>2</v>
      </c>
      <c r="G26" s="92">
        <v>0</v>
      </c>
      <c r="H26" s="153">
        <v>3</v>
      </c>
      <c r="I26" s="226">
        <v>2</v>
      </c>
      <c r="J26" s="153">
        <v>1</v>
      </c>
      <c r="K26" s="153">
        <v>0</v>
      </c>
      <c r="L26" s="153">
        <v>1</v>
      </c>
      <c r="M26" s="153">
        <v>0</v>
      </c>
      <c r="N26" s="35"/>
    </row>
    <row r="27" spans="1:20" s="35" customFormat="1" x14ac:dyDescent="0.25">
      <c r="A27" s="94">
        <v>4</v>
      </c>
      <c r="B27" s="241" t="str">
        <f>'пр 5 к МП'!B29:E29</f>
        <v>Цель муниципальной программы Туруханского района: развитие телекоммуникационных услуг на территории района</v>
      </c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</row>
    <row r="28" spans="1:20" s="35" customFormat="1" ht="47.25" x14ac:dyDescent="0.25">
      <c r="A28" s="34" t="s">
        <v>119</v>
      </c>
      <c r="B28" s="55" t="s">
        <v>90</v>
      </c>
      <c r="C28" s="94" t="s">
        <v>89</v>
      </c>
      <c r="D28" s="93">
        <v>8</v>
      </c>
      <c r="E28" s="93">
        <v>8</v>
      </c>
      <c r="F28" s="93">
        <v>8</v>
      </c>
      <c r="G28" s="93">
        <v>8</v>
      </c>
      <c r="H28" s="153">
        <v>8</v>
      </c>
      <c r="I28" s="153">
        <v>8</v>
      </c>
      <c r="J28" s="153">
        <v>8</v>
      </c>
      <c r="K28" s="153">
        <v>8</v>
      </c>
      <c r="L28" s="153">
        <v>8</v>
      </c>
      <c r="M28" s="153">
        <v>8</v>
      </c>
    </row>
    <row r="29" spans="1:20" ht="38.25" customHeight="1" x14ac:dyDescent="0.25">
      <c r="A29" s="236" t="s">
        <v>214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</row>
    <row r="30" spans="1:20" ht="18.75" x14ac:dyDescent="0.25">
      <c r="A30" s="2"/>
    </row>
  </sheetData>
  <mergeCells count="26">
    <mergeCell ref="I14:I15"/>
    <mergeCell ref="B27:M27"/>
    <mergeCell ref="A18:A19"/>
    <mergeCell ref="B18:B19"/>
    <mergeCell ref="J14:J15"/>
    <mergeCell ref="B17:M17"/>
    <mergeCell ref="B20:M20"/>
    <mergeCell ref="B25:M25"/>
    <mergeCell ref="K14:K15"/>
    <mergeCell ref="L14:M14"/>
    <mergeCell ref="J1:M1"/>
    <mergeCell ref="J5:M5"/>
    <mergeCell ref="A29:M29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</mergeCells>
  <pageMargins left="0.78740157480314965" right="0.78740157480314965" top="1.1811023622047245" bottom="0.39370078740157483" header="0.31496062992125984" footer="0.31496062992125984"/>
  <pageSetup paperSize="9" scale="75" fitToHeight="0" orientation="landscape" r:id="rId1"/>
  <rowBreaks count="1" manualBreakCount="1">
    <brk id="19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60" zoomScaleNormal="100" workbookViewId="0">
      <selection activeCell="H17" sqref="H17"/>
    </sheetView>
  </sheetViews>
  <sheetFormatPr defaultRowHeight="15.75" outlineLevelRow="1" x14ac:dyDescent="0.25"/>
  <cols>
    <col min="1" max="1" width="6.625" style="4" customWidth="1"/>
    <col min="2" max="2" width="15.75" style="1" customWidth="1"/>
    <col min="3" max="3" width="62.125" style="1" customWidth="1"/>
    <col min="4" max="5" width="16.375" style="1" customWidth="1"/>
    <col min="6" max="6" width="13.25" style="1" customWidth="1"/>
    <col min="7" max="16384" width="9" style="1"/>
  </cols>
  <sheetData>
    <row r="1" spans="1:5" ht="18.75" x14ac:dyDescent="0.25">
      <c r="D1" s="286" t="s">
        <v>167</v>
      </c>
      <c r="E1" s="286"/>
    </row>
    <row r="2" spans="1:5" ht="73.5" customHeight="1" x14ac:dyDescent="0.25">
      <c r="D2" s="235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E2" s="235"/>
    </row>
    <row r="3" spans="1:5" ht="18.75" x14ac:dyDescent="0.25">
      <c r="A3" s="13"/>
    </row>
    <row r="4" spans="1:5" ht="18.75" x14ac:dyDescent="0.25">
      <c r="A4" s="13"/>
    </row>
    <row r="5" spans="1:5" ht="18.75" x14ac:dyDescent="0.25">
      <c r="A5" s="238" t="s">
        <v>0</v>
      </c>
      <c r="B5" s="238"/>
      <c r="C5" s="238"/>
      <c r="D5" s="238"/>
      <c r="E5" s="238"/>
    </row>
    <row r="6" spans="1:5" ht="18.75" x14ac:dyDescent="0.25">
      <c r="A6" s="238" t="s">
        <v>16</v>
      </c>
      <c r="B6" s="238"/>
      <c r="C6" s="238"/>
      <c r="D6" s="238"/>
      <c r="E6" s="238"/>
    </row>
    <row r="7" spans="1:5" ht="18.75" x14ac:dyDescent="0.25">
      <c r="A7" s="238" t="s">
        <v>17</v>
      </c>
      <c r="B7" s="238"/>
      <c r="C7" s="238"/>
      <c r="D7" s="238"/>
      <c r="E7" s="238"/>
    </row>
    <row r="8" spans="1:5" ht="18.75" x14ac:dyDescent="0.25">
      <c r="A8" s="238" t="s">
        <v>18</v>
      </c>
      <c r="B8" s="238"/>
      <c r="C8" s="238"/>
      <c r="D8" s="238"/>
      <c r="E8" s="238"/>
    </row>
    <row r="9" spans="1:5" ht="18.75" x14ac:dyDescent="0.25">
      <c r="A9" s="238" t="str">
        <f>CONCATENATE("Туруханского района """,'пр 6 к МП'!C17,"""")</f>
        <v>Туруханского района "Развитие транспортной системы и связи Туруханского района"</v>
      </c>
      <c r="B9" s="238"/>
      <c r="C9" s="238"/>
      <c r="D9" s="238"/>
      <c r="E9" s="238"/>
    </row>
    <row r="10" spans="1:5" ht="18.75" x14ac:dyDescent="0.25">
      <c r="A10" s="13"/>
    </row>
    <row r="11" spans="1:5" ht="63" x14ac:dyDescent="0.25">
      <c r="A11" s="17" t="s">
        <v>19</v>
      </c>
      <c r="B11" s="17" t="s">
        <v>11</v>
      </c>
      <c r="C11" s="17" t="s">
        <v>12</v>
      </c>
      <c r="D11" s="17" t="s">
        <v>13</v>
      </c>
      <c r="E11" s="17" t="s">
        <v>14</v>
      </c>
    </row>
    <row r="12" spans="1:5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</row>
    <row r="13" spans="1:5" ht="41.25" customHeight="1" x14ac:dyDescent="0.25">
      <c r="A13" s="18">
        <v>1</v>
      </c>
      <c r="B13" s="287" t="s">
        <v>155</v>
      </c>
      <c r="C13" s="287"/>
      <c r="D13" s="287"/>
      <c r="E13" s="287"/>
    </row>
    <row r="14" spans="1:5" ht="36" customHeight="1" x14ac:dyDescent="0.25">
      <c r="A14" s="239" t="s">
        <v>3</v>
      </c>
      <c r="B14" s="288" t="s">
        <v>156</v>
      </c>
      <c r="C14" s="288"/>
      <c r="D14" s="288"/>
      <c r="E14" s="288"/>
    </row>
    <row r="15" spans="1:5" ht="39.75" customHeight="1" x14ac:dyDescent="0.25">
      <c r="A15" s="239"/>
      <c r="B15" s="275" t="str">
        <f>CONCATENATE("Подпрограмма 1 """,'пр 6 к МП'!C23,"""")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275"/>
      <c r="D15" s="275"/>
      <c r="E15" s="275"/>
    </row>
    <row r="16" spans="1:5" ht="94.5" x14ac:dyDescent="0.25">
      <c r="A16" s="54" t="s">
        <v>128</v>
      </c>
      <c r="B16" s="51" t="s">
        <v>157</v>
      </c>
      <c r="C16" s="51" t="s">
        <v>158</v>
      </c>
      <c r="D16" s="54" t="s">
        <v>66</v>
      </c>
      <c r="E16" s="146" t="s">
        <v>243</v>
      </c>
    </row>
    <row r="17" spans="1:5" ht="94.5" x14ac:dyDescent="0.25">
      <c r="A17" s="54" t="s">
        <v>163</v>
      </c>
      <c r="B17" s="51" t="s">
        <v>157</v>
      </c>
      <c r="C17" s="51" t="s">
        <v>159</v>
      </c>
      <c r="D17" s="54" t="s">
        <v>66</v>
      </c>
      <c r="E17" s="146" t="s">
        <v>160</v>
      </c>
    </row>
    <row r="18" spans="1:5" ht="31.5" x14ac:dyDescent="0.25">
      <c r="A18" s="54" t="s">
        <v>164</v>
      </c>
      <c r="B18" s="51" t="s">
        <v>157</v>
      </c>
      <c r="C18" s="51" t="s">
        <v>161</v>
      </c>
      <c r="D18" s="54" t="s">
        <v>162</v>
      </c>
      <c r="E18" s="146" t="s">
        <v>244</v>
      </c>
    </row>
    <row r="19" spans="1:5" ht="18" customHeight="1" x14ac:dyDescent="0.25">
      <c r="A19" s="18">
        <v>2</v>
      </c>
      <c r="B19" s="287" t="s">
        <v>150</v>
      </c>
      <c r="C19" s="287"/>
      <c r="D19" s="287"/>
      <c r="E19" s="287"/>
    </row>
    <row r="20" spans="1:5" ht="18" customHeight="1" x14ac:dyDescent="0.25">
      <c r="A20" s="239" t="s">
        <v>86</v>
      </c>
      <c r="B20" s="241" t="s">
        <v>127</v>
      </c>
      <c r="C20" s="241"/>
      <c r="D20" s="241"/>
      <c r="E20" s="241"/>
    </row>
    <row r="21" spans="1:5" ht="18" customHeight="1" x14ac:dyDescent="0.25">
      <c r="A21" s="239"/>
      <c r="B21" s="275" t="str">
        <f>CONCATENATE("Подпрограмма 2 """,'пр 6 к МП'!C27,"""")</f>
        <v>Подпрограмма 2 "Организация транспортного обслуживания  на территории Туруханского района"</v>
      </c>
      <c r="C21" s="275"/>
      <c r="D21" s="275"/>
      <c r="E21" s="275"/>
    </row>
    <row r="22" spans="1:5" ht="189" x14ac:dyDescent="0.25">
      <c r="A22" s="17" t="s">
        <v>129</v>
      </c>
      <c r="B22" s="16" t="s">
        <v>110</v>
      </c>
      <c r="C22" s="16" t="s">
        <v>112</v>
      </c>
      <c r="D22" s="17" t="s">
        <v>95</v>
      </c>
      <c r="E22" s="146" t="s">
        <v>243</v>
      </c>
    </row>
    <row r="23" spans="1:5" ht="220.5" x14ac:dyDescent="0.25">
      <c r="A23" s="17" t="s">
        <v>131</v>
      </c>
      <c r="B23" s="16" t="s">
        <v>110</v>
      </c>
      <c r="C23" s="16" t="s">
        <v>111</v>
      </c>
      <c r="D23" s="17" t="s">
        <v>95</v>
      </c>
      <c r="E23" s="146" t="s">
        <v>243</v>
      </c>
    </row>
    <row r="24" spans="1:5" ht="19.5" customHeight="1" x14ac:dyDescent="0.25">
      <c r="A24" s="18">
        <v>3</v>
      </c>
      <c r="B24" s="283" t="s">
        <v>123</v>
      </c>
      <c r="C24" s="284"/>
      <c r="D24" s="284"/>
      <c r="E24" s="285"/>
    </row>
    <row r="25" spans="1:5" ht="24" customHeight="1" x14ac:dyDescent="0.25">
      <c r="A25" s="273" t="s">
        <v>118</v>
      </c>
      <c r="B25" s="279" t="s">
        <v>133</v>
      </c>
      <c r="C25" s="280"/>
      <c r="D25" s="280"/>
      <c r="E25" s="281"/>
    </row>
    <row r="26" spans="1:5" ht="17.25" customHeight="1" x14ac:dyDescent="0.25">
      <c r="A26" s="274"/>
      <c r="B26" s="276" t="str">
        <f>CONCATENATE("Подпрограмма 3 """,'пр 6 к МП'!C32,"""")</f>
        <v>Подпрограмма 3 "Безопасность дорожного движения в Туруханском районе"</v>
      </c>
      <c r="C26" s="277"/>
      <c r="D26" s="277"/>
      <c r="E26" s="278"/>
    </row>
    <row r="27" spans="1:5" hidden="1" outlineLevel="1" x14ac:dyDescent="0.25">
      <c r="A27" s="43" t="s">
        <v>130</v>
      </c>
      <c r="B27" s="36"/>
      <c r="C27" s="36"/>
      <c r="D27" s="36"/>
      <c r="E27" s="36"/>
    </row>
    <row r="28" spans="1:5" hidden="1" outlineLevel="1" x14ac:dyDescent="0.25">
      <c r="A28" s="17"/>
      <c r="B28" s="16"/>
      <c r="C28" s="16"/>
      <c r="D28" s="16"/>
      <c r="E28" s="16"/>
    </row>
    <row r="29" spans="1:5" collapsed="1" x14ac:dyDescent="0.25">
      <c r="A29" s="18">
        <v>4</v>
      </c>
      <c r="B29" s="282" t="s">
        <v>151</v>
      </c>
      <c r="C29" s="282"/>
      <c r="D29" s="282"/>
      <c r="E29" s="282"/>
    </row>
    <row r="30" spans="1:5" ht="36" customHeight="1" x14ac:dyDescent="0.25">
      <c r="A30" s="239" t="s">
        <v>119</v>
      </c>
      <c r="B30" s="241" t="s">
        <v>152</v>
      </c>
      <c r="C30" s="241"/>
      <c r="D30" s="241"/>
      <c r="E30" s="241"/>
    </row>
    <row r="31" spans="1:5" ht="31.5" customHeight="1" x14ac:dyDescent="0.25">
      <c r="A31" s="239"/>
      <c r="B31" s="275" t="str">
        <f>CONCATENATE("Подпрограмма 4 """,'пр 6 к МП'!C36,"""")</f>
        <v>Подпрограмма 4 "Развитие связи на территории Туруханского района"</v>
      </c>
      <c r="C31" s="275"/>
      <c r="D31" s="275"/>
      <c r="E31" s="275"/>
    </row>
    <row r="32" spans="1:5" ht="78.75" x14ac:dyDescent="0.25">
      <c r="A32" s="17" t="s">
        <v>132</v>
      </c>
      <c r="B32" s="16" t="s">
        <v>115</v>
      </c>
      <c r="C32" s="16" t="s">
        <v>113</v>
      </c>
      <c r="D32" s="17" t="s">
        <v>114</v>
      </c>
      <c r="E32" s="22" t="s">
        <v>243</v>
      </c>
    </row>
  </sheetData>
  <mergeCells count="23"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  <mergeCell ref="A25:A26"/>
    <mergeCell ref="A30:A31"/>
    <mergeCell ref="B15:E15"/>
    <mergeCell ref="B21:E21"/>
    <mergeCell ref="B26:E26"/>
    <mergeCell ref="B31:E31"/>
    <mergeCell ref="B25:E25"/>
    <mergeCell ref="B29:E29"/>
    <mergeCell ref="B30:E30"/>
    <mergeCell ref="B24:E24"/>
  </mergeCells>
  <pageMargins left="0.78740157480314965" right="0.78740157480314965" top="1.1811023622047245" bottom="0.39370078740157483" header="0.31496062992125984" footer="0.31496062992125984"/>
  <pageSetup paperSize="9" fitToHeight="0" orientation="landscape" horizontalDpi="1200" verticalDpi="1200" r:id="rId1"/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="70" zoomScaleNormal="70" zoomScaleSheetLayoutView="70" zoomScalePageLayoutView="85" workbookViewId="0">
      <selection activeCell="H17" sqref="H17"/>
    </sheetView>
  </sheetViews>
  <sheetFormatPr defaultRowHeight="15.75" x14ac:dyDescent="0.25"/>
  <cols>
    <col min="1" max="1" width="4.875" style="4" customWidth="1"/>
    <col min="2" max="2" width="16.625" style="1" customWidth="1"/>
    <col min="3" max="3" width="17.375" style="1" customWidth="1"/>
    <col min="4" max="4" width="25.625" style="1" customWidth="1"/>
    <col min="5" max="5" width="9" style="4"/>
    <col min="6" max="8" width="9" style="1"/>
    <col min="9" max="9" width="14.625" style="1" customWidth="1"/>
    <col min="10" max="10" width="18.625" style="1" bestFit="1" customWidth="1"/>
    <col min="11" max="11" width="14.25" style="1" customWidth="1"/>
    <col min="12" max="12" width="18.125" style="1" bestFit="1" customWidth="1"/>
    <col min="13" max="16384" width="9" style="1"/>
  </cols>
  <sheetData>
    <row r="1" spans="1:12" ht="84" customHeight="1" x14ac:dyDescent="0.3">
      <c r="J1" s="252" t="s">
        <v>267</v>
      </c>
      <c r="K1" s="252"/>
      <c r="L1" s="252"/>
    </row>
    <row r="4" spans="1:12" ht="15.75" customHeight="1" x14ac:dyDescent="0.25">
      <c r="J4" s="117" t="s">
        <v>168</v>
      </c>
      <c r="K4" s="117"/>
      <c r="L4" s="20"/>
    </row>
    <row r="5" spans="1:12" ht="66" customHeight="1" x14ac:dyDescent="0.25">
      <c r="J5" s="235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K5" s="235"/>
      <c r="L5" s="235"/>
    </row>
    <row r="6" spans="1:12" ht="18.75" x14ac:dyDescent="0.25">
      <c r="A6" s="115"/>
    </row>
    <row r="7" spans="1:12" ht="18.75" x14ac:dyDescent="0.25">
      <c r="A7" s="115"/>
    </row>
    <row r="8" spans="1:12" ht="18.75" x14ac:dyDescent="0.25">
      <c r="A8" s="238" t="s">
        <v>0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</row>
    <row r="9" spans="1:12" ht="18.75" x14ac:dyDescent="0.25">
      <c r="A9" s="238" t="s">
        <v>116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</row>
    <row r="10" spans="1:12" ht="18.75" x14ac:dyDescent="0.25">
      <c r="A10" s="238" t="s">
        <v>117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</row>
    <row r="11" spans="1:12" ht="18.75" x14ac:dyDescent="0.25">
      <c r="A11" s="238" t="s">
        <v>36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</row>
    <row r="12" spans="1:12" ht="18.75" x14ac:dyDescent="0.25">
      <c r="A12" s="115"/>
    </row>
    <row r="13" spans="1:12" ht="18.75" x14ac:dyDescent="0.25">
      <c r="L13" s="5" t="s">
        <v>215</v>
      </c>
    </row>
    <row r="14" spans="1:12" ht="36" customHeight="1" x14ac:dyDescent="0.25">
      <c r="A14" s="291" t="s">
        <v>19</v>
      </c>
      <c r="B14" s="292" t="s">
        <v>33</v>
      </c>
      <c r="C14" s="291" t="s">
        <v>34</v>
      </c>
      <c r="D14" s="291" t="s">
        <v>22</v>
      </c>
      <c r="E14" s="291" t="s">
        <v>23</v>
      </c>
      <c r="F14" s="291"/>
      <c r="G14" s="291"/>
      <c r="H14" s="291"/>
      <c r="I14" s="151" t="s">
        <v>54</v>
      </c>
      <c r="J14" s="151" t="s">
        <v>55</v>
      </c>
      <c r="K14" s="151" t="s">
        <v>58</v>
      </c>
      <c r="L14" s="291" t="s">
        <v>24</v>
      </c>
    </row>
    <row r="15" spans="1:12" ht="36" customHeight="1" x14ac:dyDescent="0.25">
      <c r="A15" s="291"/>
      <c r="B15" s="292"/>
      <c r="C15" s="291"/>
      <c r="D15" s="291"/>
      <c r="E15" s="118" t="s">
        <v>25</v>
      </c>
      <c r="F15" s="118" t="s">
        <v>26</v>
      </c>
      <c r="G15" s="118" t="s">
        <v>27</v>
      </c>
      <c r="H15" s="118" t="s">
        <v>28</v>
      </c>
      <c r="I15" s="118" t="s">
        <v>29</v>
      </c>
      <c r="J15" s="118" t="s">
        <v>29</v>
      </c>
      <c r="K15" s="118" t="s">
        <v>29</v>
      </c>
      <c r="L15" s="291"/>
    </row>
    <row r="16" spans="1:12" x14ac:dyDescent="0.25">
      <c r="A16" s="114">
        <v>1</v>
      </c>
      <c r="B16" s="114">
        <v>2</v>
      </c>
      <c r="C16" s="114">
        <v>3</v>
      </c>
      <c r="D16" s="114">
        <v>4</v>
      </c>
      <c r="E16" s="114">
        <v>5</v>
      </c>
      <c r="F16" s="114">
        <v>6</v>
      </c>
      <c r="G16" s="114">
        <v>7</v>
      </c>
      <c r="H16" s="114">
        <v>8</v>
      </c>
      <c r="I16" s="114">
        <v>9</v>
      </c>
      <c r="J16" s="114">
        <v>10</v>
      </c>
      <c r="K16" s="114">
        <v>11</v>
      </c>
      <c r="L16" s="114">
        <v>12</v>
      </c>
    </row>
    <row r="17" spans="1:12" ht="63" x14ac:dyDescent="0.25">
      <c r="A17" s="294">
        <v>1</v>
      </c>
      <c r="B17" s="293" t="s">
        <v>39</v>
      </c>
      <c r="C17" s="293" t="s">
        <v>104</v>
      </c>
      <c r="D17" s="101" t="s">
        <v>105</v>
      </c>
      <c r="E17" s="102" t="s">
        <v>30</v>
      </c>
      <c r="F17" s="102" t="s">
        <v>30</v>
      </c>
      <c r="G17" s="102" t="s">
        <v>30</v>
      </c>
      <c r="H17" s="102" t="s">
        <v>30</v>
      </c>
      <c r="I17" s="103" t="e">
        <f>SUM(I19:I22)</f>
        <v>#VALUE!</v>
      </c>
      <c r="J17" s="103">
        <f t="shared" ref="J17:K17" si="0">SUM(J19:J22)</f>
        <v>135504.495</v>
      </c>
      <c r="K17" s="103">
        <f t="shared" si="0"/>
        <v>130504.49500000001</v>
      </c>
      <c r="L17" s="103" t="e">
        <f>SUM(I17:K17)</f>
        <v>#VALUE!</v>
      </c>
    </row>
    <row r="18" spans="1:12" x14ac:dyDescent="0.25">
      <c r="A18" s="294"/>
      <c r="B18" s="293"/>
      <c r="C18" s="293"/>
      <c r="D18" s="101" t="s">
        <v>31</v>
      </c>
      <c r="E18" s="102"/>
      <c r="F18" s="102" t="s">
        <v>30</v>
      </c>
      <c r="G18" s="102" t="s">
        <v>30</v>
      </c>
      <c r="H18" s="102" t="s">
        <v>30</v>
      </c>
      <c r="I18" s="103"/>
      <c r="J18" s="103"/>
      <c r="K18" s="103"/>
      <c r="L18" s="103">
        <f t="shared" ref="L18:L37" si="1">SUM(I18:K18)</f>
        <v>0</v>
      </c>
    </row>
    <row r="19" spans="1:12" ht="31.5" x14ac:dyDescent="0.25">
      <c r="A19" s="294"/>
      <c r="B19" s="293"/>
      <c r="C19" s="293"/>
      <c r="D19" s="101" t="s">
        <v>65</v>
      </c>
      <c r="E19" s="102">
        <v>241</v>
      </c>
      <c r="F19" s="102" t="s">
        <v>30</v>
      </c>
      <c r="G19" s="102" t="s">
        <v>30</v>
      </c>
      <c r="H19" s="102" t="s">
        <v>30</v>
      </c>
      <c r="I19" s="103">
        <f>SUMIF($D$23:$D$39,$D19,I$23:I$39)</f>
        <v>119963.15299999999</v>
      </c>
      <c r="J19" s="103">
        <f t="shared" ref="J19:K19" si="2">SUMIF($D$23:$D$39,$D19,J$23:J$39)</f>
        <v>122614.91</v>
      </c>
      <c r="K19" s="103">
        <f t="shared" si="2"/>
        <v>122614.91</v>
      </c>
      <c r="L19" s="103">
        <f t="shared" si="1"/>
        <v>365192.973</v>
      </c>
    </row>
    <row r="20" spans="1:12" ht="47.25" x14ac:dyDescent="0.25">
      <c r="A20" s="294"/>
      <c r="B20" s="293"/>
      <c r="C20" s="293"/>
      <c r="D20" s="101" t="s">
        <v>96</v>
      </c>
      <c r="E20" s="102">
        <v>242</v>
      </c>
      <c r="F20" s="102" t="s">
        <v>30</v>
      </c>
      <c r="G20" s="102" t="s">
        <v>30</v>
      </c>
      <c r="H20" s="102" t="s">
        <v>30</v>
      </c>
      <c r="I20" s="103">
        <f t="shared" ref="I20:K22" si="3">SUMIF($D$23:$D$39,$D20,I$23:I$39)</f>
        <v>4719.1669999999995</v>
      </c>
      <c r="J20" s="103">
        <f t="shared" si="3"/>
        <v>1650.83</v>
      </c>
      <c r="K20" s="103">
        <f t="shared" si="3"/>
        <v>1650.83</v>
      </c>
      <c r="L20" s="103">
        <f t="shared" si="1"/>
        <v>8020.8269999999993</v>
      </c>
    </row>
    <row r="21" spans="1:12" ht="63" x14ac:dyDescent="0.25">
      <c r="A21" s="294"/>
      <c r="B21" s="293"/>
      <c r="C21" s="293"/>
      <c r="D21" s="101" t="s">
        <v>66</v>
      </c>
      <c r="E21" s="102">
        <v>247</v>
      </c>
      <c r="F21" s="102" t="s">
        <v>30</v>
      </c>
      <c r="G21" s="102" t="s">
        <v>30</v>
      </c>
      <c r="H21" s="102" t="s">
        <v>30</v>
      </c>
      <c r="I21" s="103" t="e">
        <f t="shared" si="3"/>
        <v>#VALUE!</v>
      </c>
      <c r="J21" s="103">
        <f t="shared" si="3"/>
        <v>11238.755000000001</v>
      </c>
      <c r="K21" s="103">
        <f t="shared" si="3"/>
        <v>6238.7550000000001</v>
      </c>
      <c r="L21" s="103" t="e">
        <f>SUM(I21:K21)</f>
        <v>#VALUE!</v>
      </c>
    </row>
    <row r="22" spans="1:12" ht="47.25" x14ac:dyDescent="0.25">
      <c r="A22" s="294"/>
      <c r="B22" s="293"/>
      <c r="C22" s="293"/>
      <c r="D22" s="101" t="s">
        <v>222</v>
      </c>
      <c r="E22" s="102">
        <v>243</v>
      </c>
      <c r="F22" s="102" t="s">
        <v>30</v>
      </c>
      <c r="G22" s="102" t="s">
        <v>30</v>
      </c>
      <c r="H22" s="102" t="s">
        <v>30</v>
      </c>
      <c r="I22" s="103">
        <f t="shared" si="3"/>
        <v>0</v>
      </c>
      <c r="J22" s="103">
        <f t="shared" si="3"/>
        <v>0</v>
      </c>
      <c r="K22" s="103">
        <f t="shared" si="3"/>
        <v>0</v>
      </c>
      <c r="L22" s="103">
        <f>SUM(I22:K22)</f>
        <v>0</v>
      </c>
    </row>
    <row r="23" spans="1:12" ht="78.75" x14ac:dyDescent="0.25">
      <c r="A23" s="289" t="s">
        <v>3</v>
      </c>
      <c r="B23" s="290" t="s">
        <v>15</v>
      </c>
      <c r="C23" s="290" t="s">
        <v>120</v>
      </c>
      <c r="D23" s="113" t="s">
        <v>35</v>
      </c>
      <c r="E23" s="114"/>
      <c r="F23" s="114" t="s">
        <v>30</v>
      </c>
      <c r="G23" s="114" t="s">
        <v>30</v>
      </c>
      <c r="H23" s="114" t="s">
        <v>30</v>
      </c>
      <c r="I23" s="75" t="e">
        <f>I25+I26</f>
        <v>#VALUE!</v>
      </c>
      <c r="J23" s="75">
        <f t="shared" ref="J23:K23" si="4">J25+J26</f>
        <v>12889.585000000001</v>
      </c>
      <c r="K23" s="75">
        <f t="shared" si="4"/>
        <v>7889.585</v>
      </c>
      <c r="L23" s="75" t="e">
        <f t="shared" si="1"/>
        <v>#VALUE!</v>
      </c>
    </row>
    <row r="24" spans="1:12" x14ac:dyDescent="0.25">
      <c r="A24" s="289"/>
      <c r="B24" s="290"/>
      <c r="C24" s="290"/>
      <c r="D24" s="113" t="s">
        <v>31</v>
      </c>
      <c r="E24" s="114"/>
      <c r="F24" s="114" t="s">
        <v>30</v>
      </c>
      <c r="G24" s="114" t="s">
        <v>30</v>
      </c>
      <c r="H24" s="114" t="s">
        <v>30</v>
      </c>
      <c r="I24" s="75"/>
      <c r="J24" s="75"/>
      <c r="K24" s="75"/>
      <c r="L24" s="75">
        <f t="shared" si="1"/>
        <v>0</v>
      </c>
    </row>
    <row r="25" spans="1:12" ht="47.25" x14ac:dyDescent="0.25">
      <c r="A25" s="289"/>
      <c r="B25" s="290"/>
      <c r="C25" s="290"/>
      <c r="D25" s="113" t="s">
        <v>96</v>
      </c>
      <c r="E25" s="114">
        <f>E20</f>
        <v>242</v>
      </c>
      <c r="F25" s="114" t="s">
        <v>30</v>
      </c>
      <c r="G25" s="114" t="s">
        <v>30</v>
      </c>
      <c r="H25" s="114" t="s">
        <v>30</v>
      </c>
      <c r="I25" s="75">
        <f>'пр к ПП1'!H19</f>
        <v>1650.83</v>
      </c>
      <c r="J25" s="75">
        <f>'пр к ПП1'!I19</f>
        <v>1650.83</v>
      </c>
      <c r="K25" s="75">
        <f>'пр к ПП1'!J19</f>
        <v>1650.83</v>
      </c>
      <c r="L25" s="75">
        <f t="shared" si="1"/>
        <v>4952.49</v>
      </c>
    </row>
    <row r="26" spans="1:12" ht="63" x14ac:dyDescent="0.25">
      <c r="A26" s="289"/>
      <c r="B26" s="290"/>
      <c r="C26" s="290"/>
      <c r="D26" s="113" t="s">
        <v>66</v>
      </c>
      <c r="E26" s="114">
        <f>E21</f>
        <v>247</v>
      </c>
      <c r="F26" s="114" t="s">
        <v>30</v>
      </c>
      <c r="G26" s="114" t="s">
        <v>30</v>
      </c>
      <c r="H26" s="114" t="s">
        <v>30</v>
      </c>
      <c r="I26" s="75" t="e">
        <f>'пр к ПП1'!H15+'пр к ПП1'!H17+'пр к ПП1'!H20+'пр к ПП1'!H22+'пр к ПП1'!H24</f>
        <v>#VALUE!</v>
      </c>
      <c r="J26" s="75">
        <f>'пр к ПП1'!I15+'пр к ПП1'!I17+'пр к ПП1'!I20+'пр к ПП1'!I22+'пр к ПП1'!I24</f>
        <v>11238.755000000001</v>
      </c>
      <c r="K26" s="75">
        <f>'пр к ПП1'!J15+'пр к ПП1'!J17+'пр к ПП1'!J20+'пр к ПП1'!J22+'пр к ПП1'!J24</f>
        <v>6238.7550000000001</v>
      </c>
      <c r="L26" s="75" t="e">
        <f t="shared" si="1"/>
        <v>#VALUE!</v>
      </c>
    </row>
    <row r="27" spans="1:12" ht="31.5" x14ac:dyDescent="0.25">
      <c r="A27" s="289" t="s">
        <v>85</v>
      </c>
      <c r="B27" s="290" t="s">
        <v>92</v>
      </c>
      <c r="C27" s="290" t="s">
        <v>99</v>
      </c>
      <c r="D27" s="113" t="s">
        <v>32</v>
      </c>
      <c r="E27" s="114"/>
      <c r="F27" s="114" t="s">
        <v>30</v>
      </c>
      <c r="G27" s="114" t="s">
        <v>30</v>
      </c>
      <c r="H27" s="114" t="s">
        <v>30</v>
      </c>
      <c r="I27" s="75">
        <f>I29+I30+I31</f>
        <v>111083.26699999999</v>
      </c>
      <c r="J27" s="75">
        <f t="shared" ref="J27:K27" si="5">J29+J30+J31</f>
        <v>112014.91</v>
      </c>
      <c r="K27" s="75">
        <f t="shared" si="5"/>
        <v>112014.91</v>
      </c>
      <c r="L27" s="75">
        <f t="shared" si="1"/>
        <v>335113.087</v>
      </c>
    </row>
    <row r="28" spans="1:12" x14ac:dyDescent="0.25">
      <c r="A28" s="289"/>
      <c r="B28" s="290"/>
      <c r="C28" s="290"/>
      <c r="D28" s="113" t="s">
        <v>31</v>
      </c>
      <c r="E28" s="114"/>
      <c r="F28" s="114" t="s">
        <v>30</v>
      </c>
      <c r="G28" s="114" t="s">
        <v>30</v>
      </c>
      <c r="H28" s="114" t="s">
        <v>30</v>
      </c>
      <c r="I28" s="75"/>
      <c r="J28" s="75"/>
      <c r="K28" s="75"/>
      <c r="L28" s="75">
        <f t="shared" si="1"/>
        <v>0</v>
      </c>
    </row>
    <row r="29" spans="1:12" ht="31.5" x14ac:dyDescent="0.25">
      <c r="A29" s="289"/>
      <c r="B29" s="290"/>
      <c r="C29" s="290"/>
      <c r="D29" s="113" t="s">
        <v>65</v>
      </c>
      <c r="E29" s="114">
        <f>E19</f>
        <v>241</v>
      </c>
      <c r="F29" s="114" t="s">
        <v>30</v>
      </c>
      <c r="G29" s="114" t="s">
        <v>30</v>
      </c>
      <c r="H29" s="114" t="s">
        <v>30</v>
      </c>
      <c r="I29" s="75">
        <f>'пр к ПП2'!H15+'пр к ПП2'!H17</f>
        <v>109964.15299999999</v>
      </c>
      <c r="J29" s="75">
        <f>'пр к ПП2'!I15+'пр к ПП2'!I17</f>
        <v>112014.91</v>
      </c>
      <c r="K29" s="75">
        <f>'пр к ПП2'!J15+'пр к ПП2'!J17</f>
        <v>112014.91</v>
      </c>
      <c r="L29" s="75">
        <f>SUM(I29:K29)</f>
        <v>333993.973</v>
      </c>
    </row>
    <row r="30" spans="1:12" ht="47.25" x14ac:dyDescent="0.25">
      <c r="A30" s="289"/>
      <c r="B30" s="290"/>
      <c r="C30" s="290"/>
      <c r="D30" s="113" t="s">
        <v>96</v>
      </c>
      <c r="E30" s="116">
        <f>E20</f>
        <v>242</v>
      </c>
      <c r="F30" s="114" t="s">
        <v>30</v>
      </c>
      <c r="G30" s="114" t="s">
        <v>30</v>
      </c>
      <c r="H30" s="114" t="s">
        <v>30</v>
      </c>
      <c r="I30" s="75">
        <f>'пр к ПП2'!H20</f>
        <v>0</v>
      </c>
      <c r="J30" s="75">
        <f>'пр к ПП2'!I20</f>
        <v>0</v>
      </c>
      <c r="K30" s="75">
        <f>'пр к ПП2'!J20</f>
        <v>0</v>
      </c>
      <c r="L30" s="75">
        <f>SUM(I30:K30)</f>
        <v>0</v>
      </c>
    </row>
    <row r="31" spans="1:12" ht="63" x14ac:dyDescent="0.25">
      <c r="A31" s="289"/>
      <c r="B31" s="290"/>
      <c r="C31" s="290"/>
      <c r="D31" s="211" t="s">
        <v>66</v>
      </c>
      <c r="E31" s="210">
        <f>E26</f>
        <v>247</v>
      </c>
      <c r="F31" s="210" t="s">
        <v>30</v>
      </c>
      <c r="G31" s="210" t="s">
        <v>30</v>
      </c>
      <c r="H31" s="210" t="s">
        <v>30</v>
      </c>
      <c r="I31" s="75">
        <f>'пр к ПП2'!H22</f>
        <v>1119.114</v>
      </c>
      <c r="J31" s="75">
        <f>'пр к ПП2'!I22</f>
        <v>0</v>
      </c>
      <c r="K31" s="75">
        <f>'пр к ПП2'!J22</f>
        <v>0</v>
      </c>
      <c r="L31" s="75">
        <f t="shared" ref="L31" si="6">SUM(I31:K31)</f>
        <v>1119.114</v>
      </c>
    </row>
    <row r="32" spans="1:12" ht="31.5" customHeight="1" x14ac:dyDescent="0.25">
      <c r="A32" s="289" t="s">
        <v>87</v>
      </c>
      <c r="B32" s="290" t="s">
        <v>93</v>
      </c>
      <c r="C32" s="290" t="s">
        <v>100</v>
      </c>
      <c r="D32" s="113" t="s">
        <v>32</v>
      </c>
      <c r="E32" s="114"/>
      <c r="F32" s="114" t="s">
        <v>30</v>
      </c>
      <c r="G32" s="114" t="s">
        <v>30</v>
      </c>
      <c r="H32" s="114" t="s">
        <v>30</v>
      </c>
      <c r="I32" s="75">
        <f>I34+I35</f>
        <v>220.5</v>
      </c>
      <c r="J32" s="75">
        <f t="shared" ref="J32:K32" si="7">J34+J35</f>
        <v>0</v>
      </c>
      <c r="K32" s="75">
        <f t="shared" si="7"/>
        <v>0</v>
      </c>
      <c r="L32" s="75">
        <f t="shared" si="1"/>
        <v>220.5</v>
      </c>
    </row>
    <row r="33" spans="1:12" x14ac:dyDescent="0.25">
      <c r="A33" s="289"/>
      <c r="B33" s="290"/>
      <c r="C33" s="290"/>
      <c r="D33" s="113" t="s">
        <v>31</v>
      </c>
      <c r="E33" s="114"/>
      <c r="F33" s="114" t="s">
        <v>30</v>
      </c>
      <c r="G33" s="114" t="s">
        <v>30</v>
      </c>
      <c r="H33" s="114" t="s">
        <v>30</v>
      </c>
      <c r="I33" s="75"/>
      <c r="J33" s="75"/>
      <c r="K33" s="75"/>
      <c r="L33" s="75">
        <f t="shared" si="1"/>
        <v>0</v>
      </c>
    </row>
    <row r="34" spans="1:12" ht="63" x14ac:dyDescent="0.25">
      <c r="A34" s="289"/>
      <c r="B34" s="290"/>
      <c r="C34" s="290"/>
      <c r="D34" s="113" t="s">
        <v>66</v>
      </c>
      <c r="E34" s="114">
        <f>E21</f>
        <v>247</v>
      </c>
      <c r="F34" s="114" t="s">
        <v>30</v>
      </c>
      <c r="G34" s="114" t="s">
        <v>30</v>
      </c>
      <c r="H34" s="114" t="s">
        <v>30</v>
      </c>
      <c r="I34" s="75">
        <f>'пр к ПП3'!H18</f>
        <v>220.5</v>
      </c>
      <c r="J34" s="75">
        <f>'пр к ПП3'!I18</f>
        <v>0</v>
      </c>
      <c r="K34" s="75">
        <f>'пр к ПП3'!J18</f>
        <v>0</v>
      </c>
      <c r="L34" s="75">
        <f>SUM(I34:K34)</f>
        <v>220.5</v>
      </c>
    </row>
    <row r="35" spans="1:12" ht="47.25" x14ac:dyDescent="0.25">
      <c r="A35" s="289"/>
      <c r="B35" s="290"/>
      <c r="C35" s="290"/>
      <c r="D35" s="113" t="s">
        <v>222</v>
      </c>
      <c r="E35" s="116">
        <f>E22</f>
        <v>243</v>
      </c>
      <c r="F35" s="114" t="s">
        <v>30</v>
      </c>
      <c r="G35" s="114" t="s">
        <v>30</v>
      </c>
      <c r="H35" s="114" t="s">
        <v>30</v>
      </c>
      <c r="I35" s="75">
        <f>'пр к ПП3'!H15+'пр к ПП3'!H16</f>
        <v>0</v>
      </c>
      <c r="J35" s="75">
        <f>'пр к ПП3'!I15+'пр к ПП3'!I16</f>
        <v>0</v>
      </c>
      <c r="K35" s="75">
        <f>'пр к ПП3'!J15+'пр к ПП3'!J16</f>
        <v>0</v>
      </c>
      <c r="L35" s="75">
        <f>SUM(I35:K35)</f>
        <v>0</v>
      </c>
    </row>
    <row r="36" spans="1:12" ht="31.5" customHeight="1" x14ac:dyDescent="0.25">
      <c r="A36" s="289" t="s">
        <v>88</v>
      </c>
      <c r="B36" s="290" t="s">
        <v>94</v>
      </c>
      <c r="C36" s="290" t="s">
        <v>166</v>
      </c>
      <c r="D36" s="113" t="s">
        <v>32</v>
      </c>
      <c r="E36" s="114"/>
      <c r="F36" s="114" t="s">
        <v>30</v>
      </c>
      <c r="G36" s="114" t="s">
        <v>30</v>
      </c>
      <c r="H36" s="114" t="s">
        <v>30</v>
      </c>
      <c r="I36" s="75">
        <f>I38+I39</f>
        <v>13067.337</v>
      </c>
      <c r="J36" s="75">
        <f t="shared" ref="J36:L36" si="8">J38+J39</f>
        <v>10600</v>
      </c>
      <c r="K36" s="75">
        <f t="shared" si="8"/>
        <v>10600</v>
      </c>
      <c r="L36" s="75">
        <f t="shared" si="8"/>
        <v>34267.337</v>
      </c>
    </row>
    <row r="37" spans="1:12" x14ac:dyDescent="0.25">
      <c r="A37" s="289"/>
      <c r="B37" s="290"/>
      <c r="C37" s="290"/>
      <c r="D37" s="113" t="s">
        <v>31</v>
      </c>
      <c r="E37" s="114"/>
      <c r="F37" s="114" t="s">
        <v>30</v>
      </c>
      <c r="G37" s="114" t="s">
        <v>30</v>
      </c>
      <c r="H37" s="114" t="s">
        <v>30</v>
      </c>
      <c r="I37" s="75"/>
      <c r="J37" s="75"/>
      <c r="K37" s="75"/>
      <c r="L37" s="75">
        <f t="shared" si="1"/>
        <v>0</v>
      </c>
    </row>
    <row r="38" spans="1:12" ht="31.5" x14ac:dyDescent="0.25">
      <c r="A38" s="289"/>
      <c r="B38" s="290"/>
      <c r="C38" s="290"/>
      <c r="D38" s="113" t="s">
        <v>65</v>
      </c>
      <c r="E38" s="114">
        <f>E29</f>
        <v>241</v>
      </c>
      <c r="F38" s="114" t="s">
        <v>30</v>
      </c>
      <c r="G38" s="114" t="s">
        <v>30</v>
      </c>
      <c r="H38" s="114" t="s">
        <v>30</v>
      </c>
      <c r="I38" s="75">
        <f>'пр к ПП4'!H15</f>
        <v>9999</v>
      </c>
      <c r="J38" s="75">
        <f>'пр к ПП4'!I15</f>
        <v>10600</v>
      </c>
      <c r="K38" s="75">
        <f>'пр к ПП4'!J15</f>
        <v>10600</v>
      </c>
      <c r="L38" s="75">
        <f>SUM(I38:K38)</f>
        <v>31199</v>
      </c>
    </row>
    <row r="39" spans="1:12" ht="47.25" x14ac:dyDescent="0.25">
      <c r="A39" s="289"/>
      <c r="B39" s="290"/>
      <c r="C39" s="290"/>
      <c r="D39" s="178" t="s">
        <v>96</v>
      </c>
      <c r="E39" s="177">
        <f>E30</f>
        <v>242</v>
      </c>
      <c r="F39" s="177" t="s">
        <v>30</v>
      </c>
      <c r="G39" s="177" t="s">
        <v>30</v>
      </c>
      <c r="H39" s="177" t="s">
        <v>30</v>
      </c>
      <c r="I39" s="75">
        <f>'пр к ПП4'!H17+'пр к ПП4'!H18</f>
        <v>3068.337</v>
      </c>
      <c r="J39" s="75">
        <f>'пр к ПП4'!I17+'пр к ПП4'!I18</f>
        <v>0</v>
      </c>
      <c r="K39" s="75">
        <f>'пр к ПП4'!J17+'пр к ПП4'!J18</f>
        <v>0</v>
      </c>
      <c r="L39" s="75">
        <f>SUM(I39:K39)</f>
        <v>3068.337</v>
      </c>
    </row>
    <row r="47" spans="1:12" x14ac:dyDescent="0.25">
      <c r="B47" s="1" t="s">
        <v>236</v>
      </c>
    </row>
    <row r="48" spans="1:12" x14ac:dyDescent="0.25">
      <c r="B48" s="1" t="s">
        <v>237</v>
      </c>
      <c r="I48" s="1" t="e">
        <f>I23='пр к ПП1'!H26</f>
        <v>#VALUE!</v>
      </c>
      <c r="J48" s="1" t="b">
        <f>J23='пр к ПП1'!I26</f>
        <v>1</v>
      </c>
      <c r="K48" s="1" t="b">
        <f>K23='пр к ПП1'!J26</f>
        <v>1</v>
      </c>
      <c r="L48" s="1" t="e">
        <f>L23='пр к ПП1'!K26</f>
        <v>#VALUE!</v>
      </c>
    </row>
    <row r="49" spans="2:12" x14ac:dyDescent="0.25">
      <c r="B49" s="1" t="s">
        <v>238</v>
      </c>
      <c r="I49" s="1" t="b">
        <f>I27='пр к ПП2'!H24</f>
        <v>1</v>
      </c>
      <c r="J49" s="1" t="b">
        <f>J27='пр к ПП2'!I24</f>
        <v>1</v>
      </c>
      <c r="K49" s="1" t="b">
        <f>K27='пр к ПП2'!J24</f>
        <v>1</v>
      </c>
      <c r="L49" s="1" t="b">
        <f>L27='пр к ПП2'!K24</f>
        <v>1</v>
      </c>
    </row>
    <row r="50" spans="2:12" x14ac:dyDescent="0.25">
      <c r="B50" s="1" t="s">
        <v>239</v>
      </c>
      <c r="I50" s="1" t="b">
        <f>I32='пр к ПП3'!H22</f>
        <v>1</v>
      </c>
      <c r="J50" s="1" t="b">
        <f>J32='пр к ПП3'!I22</f>
        <v>1</v>
      </c>
      <c r="K50" s="1" t="b">
        <f>K32='пр к ПП3'!J22</f>
        <v>1</v>
      </c>
      <c r="L50" s="1" t="b">
        <f>L32='пр к ПП3'!K22</f>
        <v>1</v>
      </c>
    </row>
    <row r="51" spans="2:12" x14ac:dyDescent="0.25">
      <c r="B51" s="1" t="s">
        <v>240</v>
      </c>
      <c r="I51" s="1" t="b">
        <f>I36='пр к ПП4'!H20</f>
        <v>1</v>
      </c>
      <c r="J51" s="1" t="b">
        <f>J36='пр к ПП4'!I20</f>
        <v>1</v>
      </c>
      <c r="K51" s="1" t="b">
        <f>K36='пр к ПП4'!J20</f>
        <v>1</v>
      </c>
      <c r="L51" s="1" t="b">
        <f>L36='пр к ПП4'!K20</f>
        <v>1</v>
      </c>
    </row>
    <row r="54" spans="2:12" x14ac:dyDescent="0.25">
      <c r="B54" s="1" t="s">
        <v>237</v>
      </c>
      <c r="I54" s="129" t="e">
        <f>I23-'пр к ПП1'!H26</f>
        <v>#VALUE!</v>
      </c>
      <c r="J54" s="129">
        <f>J23-'пр к ПП1'!I26</f>
        <v>0</v>
      </c>
      <c r="K54" s="129">
        <f>K23-'пр к ПП1'!J26</f>
        <v>0</v>
      </c>
      <c r="L54" s="129" t="e">
        <f>L23-'пр к ПП1'!K26</f>
        <v>#VALUE!</v>
      </c>
    </row>
    <row r="55" spans="2:12" x14ac:dyDescent="0.25">
      <c r="B55" s="1" t="s">
        <v>238</v>
      </c>
      <c r="I55" s="129">
        <f>I27-'пр к ПП2'!H24</f>
        <v>0</v>
      </c>
      <c r="J55" s="129">
        <f>J27-'пр к ПП2'!I24</f>
        <v>0</v>
      </c>
      <c r="K55" s="129">
        <f>K27-'пр к ПП2'!J24</f>
        <v>0</v>
      </c>
      <c r="L55" s="129">
        <f>L27-'пр к ПП2'!K24</f>
        <v>0</v>
      </c>
    </row>
    <row r="56" spans="2:12" x14ac:dyDescent="0.25">
      <c r="B56" s="1" t="s">
        <v>239</v>
      </c>
      <c r="I56" s="129">
        <f>I32-'пр к ПП3'!H22</f>
        <v>0</v>
      </c>
      <c r="J56" s="129">
        <f>J32-'пр к ПП3'!I22</f>
        <v>0</v>
      </c>
      <c r="K56" s="129">
        <f>K32-'пр к ПП3'!J22</f>
        <v>0</v>
      </c>
      <c r="L56" s="129">
        <f>L32-'пр к ПП3'!K22</f>
        <v>0</v>
      </c>
    </row>
    <row r="57" spans="2:12" x14ac:dyDescent="0.25">
      <c r="B57" s="1" t="s">
        <v>240</v>
      </c>
      <c r="I57" s="129">
        <f>I36-'пр к ПП4'!H20</f>
        <v>0</v>
      </c>
      <c r="J57" s="129">
        <f>J36-'пр к ПП4'!I20</f>
        <v>0</v>
      </c>
      <c r="K57" s="129">
        <f>K36-'пр к ПП4'!J20</f>
        <v>0</v>
      </c>
      <c r="L57" s="129">
        <f>L36-'пр к ПП4'!K20</f>
        <v>0</v>
      </c>
    </row>
  </sheetData>
  <mergeCells count="27">
    <mergeCell ref="A8:L8"/>
    <mergeCell ref="A32:A35"/>
    <mergeCell ref="B32:B35"/>
    <mergeCell ref="C32:C35"/>
    <mergeCell ref="A17:A22"/>
    <mergeCell ref="A9:L9"/>
    <mergeCell ref="A10:L10"/>
    <mergeCell ref="A11:L11"/>
    <mergeCell ref="A27:A31"/>
    <mergeCell ref="B27:B31"/>
    <mergeCell ref="C27:C31"/>
    <mergeCell ref="J1:L1"/>
    <mergeCell ref="A36:A39"/>
    <mergeCell ref="B36:B39"/>
    <mergeCell ref="C36:C39"/>
    <mergeCell ref="J5:L5"/>
    <mergeCell ref="L14:L15"/>
    <mergeCell ref="A14:A15"/>
    <mergeCell ref="B14:B15"/>
    <mergeCell ref="C14:C15"/>
    <mergeCell ref="D14:D15"/>
    <mergeCell ref="E14:H14"/>
    <mergeCell ref="B17:B22"/>
    <mergeCell ref="C17:C22"/>
    <mergeCell ref="A23:A26"/>
    <mergeCell ref="B23:B26"/>
    <mergeCell ref="C23:C26"/>
  </mergeCells>
  <pageMargins left="0.78740157480314965" right="0.78740157480314965" top="1.1811023622047245" bottom="0.17" header="0.31496062992125984" footer="0.31496062992125984"/>
  <pageSetup paperSize="9" scale="72" fitToHeight="0" orientation="landscape" r:id="rId1"/>
  <rowBreaks count="2" manualBreakCount="2">
    <brk id="22" max="11" man="1"/>
    <brk id="35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view="pageBreakPreview" topLeftCell="C7" zoomScale="70" zoomScaleNormal="70" zoomScaleSheetLayoutView="70" workbookViewId="0">
      <selection activeCell="H17" sqref="H17"/>
    </sheetView>
  </sheetViews>
  <sheetFormatPr defaultRowHeight="18.75" outlineLevelCol="2" x14ac:dyDescent="0.3"/>
  <cols>
    <col min="1" max="1" width="5.375" style="19" customWidth="1"/>
    <col min="2" max="2" width="24.375" style="6" customWidth="1"/>
    <col min="3" max="3" width="25" style="6" customWidth="1"/>
    <col min="4" max="4" width="27.5" style="6" customWidth="1"/>
    <col min="5" max="5" width="17.25" style="44" hidden="1" customWidth="1" outlineLevel="2"/>
    <col min="6" max="7" width="14.25" style="44" hidden="1" customWidth="1" outlineLevel="2"/>
    <col min="8" max="8" width="14.25" style="44" hidden="1" customWidth="1" outlineLevel="1" collapsed="1"/>
    <col min="9" max="9" width="14.625" style="6" customWidth="1" collapsed="1"/>
    <col min="10" max="10" width="16.125" style="6" customWidth="1"/>
    <col min="11" max="11" width="15.625" style="6" customWidth="1"/>
    <col min="12" max="12" width="18.125" style="6" bestFit="1" customWidth="1"/>
    <col min="13" max="13" width="14.875" style="6" hidden="1" customWidth="1" outlineLevel="1"/>
    <col min="14" max="14" width="17.875" style="82" bestFit="1" customWidth="1" collapsed="1"/>
    <col min="15" max="15" width="10.75" style="6" bestFit="1" customWidth="1"/>
    <col min="16" max="16384" width="9" style="6"/>
  </cols>
  <sheetData>
    <row r="1" spans="1:12" ht="82.5" customHeight="1" x14ac:dyDescent="0.3">
      <c r="J1" s="252" t="s">
        <v>274</v>
      </c>
      <c r="K1" s="252"/>
      <c r="L1" s="252"/>
    </row>
    <row r="4" spans="1:12" x14ac:dyDescent="0.3">
      <c r="J4" s="12" t="s">
        <v>169</v>
      </c>
    </row>
    <row r="5" spans="1:12" ht="61.5" customHeight="1" x14ac:dyDescent="0.3">
      <c r="J5" s="235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K5" s="235"/>
      <c r="L5" s="235"/>
    </row>
    <row r="6" spans="1:12" x14ac:dyDescent="0.3">
      <c r="A6" s="13"/>
    </row>
    <row r="7" spans="1:12" x14ac:dyDescent="0.3">
      <c r="A7" s="13"/>
    </row>
    <row r="8" spans="1:12" x14ac:dyDescent="0.3">
      <c r="A8" s="238" t="s">
        <v>0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</row>
    <row r="9" spans="1:12" x14ac:dyDescent="0.3">
      <c r="A9" s="238" t="s">
        <v>41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</row>
    <row r="10" spans="1:12" x14ac:dyDescent="0.3">
      <c r="A10" s="238" t="s">
        <v>42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</row>
    <row r="11" spans="1:12" x14ac:dyDescent="0.3">
      <c r="A11" s="238" t="s">
        <v>43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</row>
    <row r="12" spans="1:12" x14ac:dyDescent="0.3">
      <c r="A12" s="238" t="s">
        <v>44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</row>
    <row r="13" spans="1:12" x14ac:dyDescent="0.3">
      <c r="A13" s="238" t="s">
        <v>45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</row>
    <row r="14" spans="1:12" x14ac:dyDescent="0.3">
      <c r="A14" s="13"/>
    </row>
    <row r="15" spans="1:12" x14ac:dyDescent="0.3">
      <c r="L15" s="5" t="s">
        <v>215</v>
      </c>
    </row>
    <row r="16" spans="1:12" ht="27.75" customHeight="1" x14ac:dyDescent="0.3">
      <c r="A16" s="239" t="s">
        <v>19</v>
      </c>
      <c r="B16" s="291" t="s">
        <v>33</v>
      </c>
      <c r="C16" s="291" t="s">
        <v>34</v>
      </c>
      <c r="D16" s="239" t="s">
        <v>38</v>
      </c>
      <c r="E16" s="39">
        <v>2014</v>
      </c>
      <c r="F16" s="39">
        <v>2015</v>
      </c>
      <c r="G16" s="39">
        <v>2016</v>
      </c>
      <c r="H16" s="39">
        <v>2017</v>
      </c>
      <c r="I16" s="150" t="s">
        <v>54</v>
      </c>
      <c r="J16" s="150" t="s">
        <v>55</v>
      </c>
      <c r="K16" s="150" t="s">
        <v>58</v>
      </c>
      <c r="L16" s="291" t="s">
        <v>24</v>
      </c>
    </row>
    <row r="17" spans="1:18" x14ac:dyDescent="0.3">
      <c r="A17" s="239"/>
      <c r="B17" s="291"/>
      <c r="C17" s="291"/>
      <c r="D17" s="239"/>
      <c r="E17" s="39"/>
      <c r="F17" s="39"/>
      <c r="G17" s="39"/>
      <c r="H17" s="39"/>
      <c r="I17" s="97" t="s">
        <v>29</v>
      </c>
      <c r="J17" s="97" t="s">
        <v>29</v>
      </c>
      <c r="K17" s="97" t="s">
        <v>29</v>
      </c>
      <c r="L17" s="291"/>
    </row>
    <row r="18" spans="1:18" x14ac:dyDescent="0.3">
      <c r="A18" s="144">
        <v>1</v>
      </c>
      <c r="B18" s="144">
        <v>2</v>
      </c>
      <c r="C18" s="144">
        <v>3</v>
      </c>
      <c r="D18" s="144">
        <v>4</v>
      </c>
      <c r="E18" s="39"/>
      <c r="F18" s="39"/>
      <c r="G18" s="39"/>
      <c r="H18" s="39"/>
      <c r="I18" s="144">
        <v>5</v>
      </c>
      <c r="J18" s="144">
        <v>6</v>
      </c>
      <c r="K18" s="144">
        <v>7</v>
      </c>
      <c r="L18" s="144">
        <v>8</v>
      </c>
    </row>
    <row r="19" spans="1:18" x14ac:dyDescent="0.3">
      <c r="A19" s="289">
        <v>1</v>
      </c>
      <c r="B19" s="295" t="s">
        <v>39</v>
      </c>
      <c r="C19" s="295" t="str">
        <f>'пр 6 к МП'!C17</f>
        <v>Развитие транспортной системы и связи Туруханского района</v>
      </c>
      <c r="D19" s="156" t="s">
        <v>37</v>
      </c>
      <c r="E19" s="83">
        <f t="shared" ref="E19:F19" si="0">E26+E33+E40+E47</f>
        <v>165376.84903000001</v>
      </c>
      <c r="F19" s="83">
        <f t="shared" si="0"/>
        <v>132504.82329</v>
      </c>
      <c r="G19" s="83">
        <f>G26+G33+G40+G47</f>
        <v>168993.47096999999</v>
      </c>
      <c r="H19" s="83">
        <f>H26+H33+H40+H47</f>
        <v>155455.69513999997</v>
      </c>
      <c r="I19" s="84" t="e">
        <f>I26+I33+I40+I47</f>
        <v>#VALUE!</v>
      </c>
      <c r="J19" s="84">
        <f t="shared" ref="J19:K19" si="1">J26+J33+J40+J47</f>
        <v>135504.495</v>
      </c>
      <c r="K19" s="84">
        <f t="shared" si="1"/>
        <v>130504.49500000001</v>
      </c>
      <c r="L19" s="84" t="e">
        <f>SUM(I19:K19)</f>
        <v>#VALUE!</v>
      </c>
      <c r="M19" s="85" t="e">
        <f>L19-'пр 6 к МП'!L17</f>
        <v>#VALUE!</v>
      </c>
      <c r="N19" s="86" t="e">
        <f>SUM(E19:K19)</f>
        <v>#VALUE!</v>
      </c>
      <c r="O19" s="6" t="e">
        <f>SUM(N21:N25)=N19</f>
        <v>#VALUE!</v>
      </c>
      <c r="Q19" s="6">
        <v>117</v>
      </c>
      <c r="R19" s="6">
        <f>134-Q19</f>
        <v>17</v>
      </c>
    </row>
    <row r="20" spans="1:18" x14ac:dyDescent="0.3">
      <c r="A20" s="289"/>
      <c r="B20" s="295"/>
      <c r="C20" s="295"/>
      <c r="D20" s="145" t="s">
        <v>20</v>
      </c>
      <c r="E20" s="87"/>
      <c r="F20" s="87"/>
      <c r="G20" s="87"/>
      <c r="H20" s="87"/>
      <c r="I20" s="88"/>
      <c r="J20" s="88"/>
      <c r="K20" s="88"/>
      <c r="L20" s="88"/>
      <c r="M20" s="85"/>
      <c r="N20" s="86"/>
    </row>
    <row r="21" spans="1:18" x14ac:dyDescent="0.3">
      <c r="A21" s="289"/>
      <c r="B21" s="295"/>
      <c r="C21" s="295"/>
      <c r="D21" s="7" t="s">
        <v>101</v>
      </c>
      <c r="E21" s="87">
        <f t="shared" ref="E21:I21" si="2">E28+E35+E42+E49</f>
        <v>0</v>
      </c>
      <c r="F21" s="87">
        <f t="shared" si="2"/>
        <v>0</v>
      </c>
      <c r="G21" s="87">
        <f t="shared" si="2"/>
        <v>0</v>
      </c>
      <c r="H21" s="87">
        <f t="shared" ref="H21" si="3">H28+H35+H42+H49</f>
        <v>0</v>
      </c>
      <c r="I21" s="88">
        <f t="shared" si="2"/>
        <v>0</v>
      </c>
      <c r="J21" s="88">
        <f t="shared" ref="J21:K21" si="4">J28+J35+J42+J49</f>
        <v>0</v>
      </c>
      <c r="K21" s="88">
        <f t="shared" si="4"/>
        <v>0</v>
      </c>
      <c r="L21" s="88">
        <f t="shared" ref="L21:L53" si="5">SUM(I21:K21)</f>
        <v>0</v>
      </c>
      <c r="M21" s="85"/>
      <c r="N21" s="86"/>
    </row>
    <row r="22" spans="1:18" x14ac:dyDescent="0.3">
      <c r="A22" s="289"/>
      <c r="B22" s="295"/>
      <c r="C22" s="295"/>
      <c r="D22" s="145" t="s">
        <v>102</v>
      </c>
      <c r="E22" s="87">
        <f>E29+E36+E43+E50</f>
        <v>33226.424510000004</v>
      </c>
      <c r="F22" s="87">
        <f t="shared" ref="F22:G22" si="6">F29+F36+F43+F50</f>
        <v>33544.400000000001</v>
      </c>
      <c r="G22" s="87">
        <f t="shared" si="6"/>
        <v>55791.640999999996</v>
      </c>
      <c r="H22" s="87">
        <f t="shared" ref="H22" si="7">H29+H36+H43+H50</f>
        <v>50192.994449999998</v>
      </c>
      <c r="I22" s="88" t="e">
        <f>I29+I36+I43+I50</f>
        <v>#VALUE!</v>
      </c>
      <c r="J22" s="88">
        <f t="shared" ref="J22:K22" si="8">J29+J36+J43+J50</f>
        <v>0</v>
      </c>
      <c r="K22" s="88">
        <f t="shared" si="8"/>
        <v>0</v>
      </c>
      <c r="L22" s="88" t="e">
        <f t="shared" si="5"/>
        <v>#VALUE!</v>
      </c>
      <c r="M22" s="85"/>
      <c r="N22" s="86" t="e">
        <f t="shared" ref="N22:N25" si="9">SUM(E22:K22)</f>
        <v>#VALUE!</v>
      </c>
    </row>
    <row r="23" spans="1:18" x14ac:dyDescent="0.3">
      <c r="A23" s="289"/>
      <c r="B23" s="295"/>
      <c r="C23" s="295"/>
      <c r="D23" s="145" t="s">
        <v>40</v>
      </c>
      <c r="E23" s="87">
        <f>E30+E37+E44+E51</f>
        <v>132150.42452</v>
      </c>
      <c r="F23" s="87">
        <f t="shared" ref="F23:G23" si="10">F30+F37+F44+F51</f>
        <v>98960.423290000006</v>
      </c>
      <c r="G23" s="87">
        <f t="shared" si="10"/>
        <v>113001.82996999999</v>
      </c>
      <c r="H23" s="87">
        <f t="shared" ref="H23" si="11">H30+H37+H44+H51</f>
        <v>105262.70068999998</v>
      </c>
      <c r="I23" s="88">
        <f>I30+I37+I44+I51</f>
        <v>127991.31299999999</v>
      </c>
      <c r="J23" s="88">
        <f t="shared" ref="J23:K23" si="12">J30+J37+J44+J51</f>
        <v>135504.495</v>
      </c>
      <c r="K23" s="88">
        <f t="shared" si="12"/>
        <v>130504.49500000001</v>
      </c>
      <c r="L23" s="88">
        <f t="shared" si="5"/>
        <v>394000.30299999996</v>
      </c>
      <c r="M23" s="85"/>
      <c r="N23" s="86">
        <f t="shared" si="9"/>
        <v>843375.68146999995</v>
      </c>
    </row>
    <row r="24" spans="1:18" ht="48" x14ac:dyDescent="0.3">
      <c r="A24" s="289"/>
      <c r="B24" s="295"/>
      <c r="C24" s="295"/>
      <c r="D24" s="8" t="s">
        <v>103</v>
      </c>
      <c r="E24" s="87">
        <f t="shared" ref="E24:G24" si="13">E31+E38+E45+E52</f>
        <v>0</v>
      </c>
      <c r="F24" s="87">
        <f t="shared" si="13"/>
        <v>0</v>
      </c>
      <c r="G24" s="87">
        <f t="shared" si="13"/>
        <v>0</v>
      </c>
      <c r="H24" s="87">
        <f t="shared" ref="H24" si="14">H31+H38+H45+H52</f>
        <v>0</v>
      </c>
      <c r="I24" s="88">
        <f t="shared" ref="I24:K24" si="15">I31+I38+I45+I52</f>
        <v>0</v>
      </c>
      <c r="J24" s="88">
        <f t="shared" si="15"/>
        <v>0</v>
      </c>
      <c r="K24" s="88">
        <f t="shared" si="15"/>
        <v>0</v>
      </c>
      <c r="L24" s="88">
        <f t="shared" si="5"/>
        <v>0</v>
      </c>
      <c r="M24" s="85"/>
      <c r="N24" s="86">
        <f t="shared" si="9"/>
        <v>0</v>
      </c>
    </row>
    <row r="25" spans="1:18" ht="19.5" thickBot="1" x14ac:dyDescent="0.35">
      <c r="A25" s="289"/>
      <c r="B25" s="295"/>
      <c r="C25" s="295"/>
      <c r="D25" s="145" t="s">
        <v>21</v>
      </c>
      <c r="E25" s="87">
        <f t="shared" ref="E25:G25" si="16">E32+E39+E46+E53</f>
        <v>0</v>
      </c>
      <c r="F25" s="87">
        <f t="shared" si="16"/>
        <v>0</v>
      </c>
      <c r="G25" s="87">
        <f t="shared" si="16"/>
        <v>200</v>
      </c>
      <c r="H25" s="87">
        <f t="shared" ref="H25" si="17">H32+H39+H46+H53</f>
        <v>0</v>
      </c>
      <c r="I25" s="88">
        <f t="shared" ref="I25:K25" si="18">I32+I39+I46+I53</f>
        <v>0</v>
      </c>
      <c r="J25" s="88">
        <f t="shared" si="18"/>
        <v>0</v>
      </c>
      <c r="K25" s="88">
        <f t="shared" si="18"/>
        <v>0</v>
      </c>
      <c r="L25" s="88">
        <f t="shared" si="5"/>
        <v>0</v>
      </c>
      <c r="M25" s="85"/>
      <c r="N25" s="86">
        <f t="shared" si="9"/>
        <v>200</v>
      </c>
    </row>
    <row r="26" spans="1:18" s="136" customFormat="1" x14ac:dyDescent="0.3">
      <c r="A26" s="289" t="s">
        <v>3</v>
      </c>
      <c r="B26" s="295" t="s">
        <v>15</v>
      </c>
      <c r="C26" s="295" t="str">
        <f>'пр 6 к МП'!C23</f>
        <v>Развитие транспортного комплекса, обеспечение сохранности и модернизации автомобильных дорог Туруханского района</v>
      </c>
      <c r="D26" s="156" t="s">
        <v>37</v>
      </c>
      <c r="E26" s="83">
        <f>SUM(E28:E32)</f>
        <v>38654.857510000002</v>
      </c>
      <c r="F26" s="83">
        <f t="shared" ref="F26:H26" si="19">SUM(F28:F32)</f>
        <v>38642.90999</v>
      </c>
      <c r="G26" s="83">
        <f t="shared" si="19"/>
        <v>64679.243999999999</v>
      </c>
      <c r="H26" s="83">
        <f t="shared" si="19"/>
        <v>51991.447849999997</v>
      </c>
      <c r="I26" s="84" t="e">
        <f>SUM(I28:I32)</f>
        <v>#VALUE!</v>
      </c>
      <c r="J26" s="84">
        <f t="shared" ref="J26:K26" si="20">SUM(J28:J32)</f>
        <v>12889.584999999999</v>
      </c>
      <c r="K26" s="84">
        <f t="shared" si="20"/>
        <v>7889.585</v>
      </c>
      <c r="L26" s="84" t="e">
        <f>SUM(I26:K26)</f>
        <v>#VALUE!</v>
      </c>
      <c r="M26" s="134" t="e">
        <f>L26-'пр 6 к МП'!L23</f>
        <v>#VALUE!</v>
      </c>
      <c r="N26" s="135" t="e">
        <f>SUM(E26:K26)</f>
        <v>#VALUE!</v>
      </c>
      <c r="O26" s="136" t="e">
        <f>SUM(N28:N32)=N26</f>
        <v>#VALUE!</v>
      </c>
    </row>
    <row r="27" spans="1:18" s="139" customFormat="1" x14ac:dyDescent="0.3">
      <c r="A27" s="289"/>
      <c r="B27" s="295"/>
      <c r="C27" s="295"/>
      <c r="D27" s="145" t="s">
        <v>20</v>
      </c>
      <c r="E27" s="89"/>
      <c r="F27" s="89"/>
      <c r="G27" s="89"/>
      <c r="H27" s="89"/>
      <c r="I27" s="88"/>
      <c r="J27" s="88"/>
      <c r="K27" s="88"/>
      <c r="L27" s="88"/>
      <c r="M27" s="137"/>
      <c r="N27" s="138"/>
    </row>
    <row r="28" spans="1:18" s="139" customFormat="1" x14ac:dyDescent="0.3">
      <c r="A28" s="289"/>
      <c r="B28" s="295"/>
      <c r="C28" s="295"/>
      <c r="D28" s="7" t="s">
        <v>101</v>
      </c>
      <c r="E28" s="89"/>
      <c r="F28" s="89"/>
      <c r="G28" s="89"/>
      <c r="H28" s="89"/>
      <c r="I28" s="88"/>
      <c r="J28" s="88"/>
      <c r="K28" s="88"/>
      <c r="L28" s="88">
        <f t="shared" si="5"/>
        <v>0</v>
      </c>
      <c r="M28" s="137"/>
      <c r="N28" s="138"/>
    </row>
    <row r="29" spans="1:18" s="139" customFormat="1" x14ac:dyDescent="0.3">
      <c r="A29" s="289"/>
      <c r="B29" s="295"/>
      <c r="C29" s="295"/>
      <c r="D29" s="145" t="s">
        <v>102</v>
      </c>
      <c r="E29" s="89">
        <v>33203.024510000003</v>
      </c>
      <c r="F29" s="89">
        <v>33544.400000000001</v>
      </c>
      <c r="G29" s="89">
        <v>55649.004999999997</v>
      </c>
      <c r="H29" s="89">
        <v>47780.994449999998</v>
      </c>
      <c r="I29" s="88" t="e">
        <f>'пр к ПП1'!H15+'пр к ПП1'!H17</f>
        <v>#VALUE!</v>
      </c>
      <c r="J29" s="88">
        <f>'пр к ПП1'!I15</f>
        <v>0</v>
      </c>
      <c r="K29" s="88">
        <f>'пр к ПП1'!J15+'пр к ПП1'!J17</f>
        <v>0</v>
      </c>
      <c r="L29" s="88" t="e">
        <f t="shared" si="5"/>
        <v>#VALUE!</v>
      </c>
      <c r="M29" s="137"/>
      <c r="N29" s="138" t="e">
        <f t="shared" ref="N29:N32" si="21">SUM(E29:K29)</f>
        <v>#VALUE!</v>
      </c>
    </row>
    <row r="30" spans="1:18" s="139" customFormat="1" x14ac:dyDescent="0.3">
      <c r="A30" s="289"/>
      <c r="B30" s="295"/>
      <c r="C30" s="295"/>
      <c r="D30" s="145" t="s">
        <v>40</v>
      </c>
      <c r="E30" s="89">
        <v>5451.8330000000005</v>
      </c>
      <c r="F30" s="89">
        <v>5098.5099900000005</v>
      </c>
      <c r="G30" s="89">
        <v>8830.2389999999996</v>
      </c>
      <c r="H30" s="89">
        <v>4210.4534000000003</v>
      </c>
      <c r="I30" s="88">
        <f>'пр к ПП1'!H20+'пр к ПП1'!H19+'пр к ПП1'!H22+'пр к ПП1'!H24</f>
        <v>6902.9089999999997</v>
      </c>
      <c r="J30" s="88">
        <f>'пр к ПП1'!I20+'пр к ПП1'!I19+'пр к ПП1'!I22+'пр к ПП1'!I24+'пр к ПП1'!I17</f>
        <v>12889.584999999999</v>
      </c>
      <c r="K30" s="88">
        <f>'пр к ПП1'!J20+'пр к ПП1'!J19+'пр к ПП1'!J22+'пр к ПП1'!J24</f>
        <v>7889.585</v>
      </c>
      <c r="L30" s="88">
        <f>SUM(I30:K30)</f>
        <v>27682.078999999998</v>
      </c>
      <c r="M30" s="137"/>
      <c r="N30" s="138">
        <f t="shared" si="21"/>
        <v>51273.114389999995</v>
      </c>
    </row>
    <row r="31" spans="1:18" s="139" customFormat="1" ht="48" x14ac:dyDescent="0.3">
      <c r="A31" s="289"/>
      <c r="B31" s="295"/>
      <c r="C31" s="295"/>
      <c r="D31" s="8" t="s">
        <v>103</v>
      </c>
      <c r="E31" s="90"/>
      <c r="F31" s="90">
        <v>0</v>
      </c>
      <c r="G31" s="90"/>
      <c r="H31" s="90"/>
      <c r="I31" s="88"/>
      <c r="J31" s="88"/>
      <c r="K31" s="88"/>
      <c r="L31" s="88">
        <f t="shared" si="5"/>
        <v>0</v>
      </c>
      <c r="M31" s="137"/>
      <c r="N31" s="138">
        <f t="shared" si="21"/>
        <v>0</v>
      </c>
    </row>
    <row r="32" spans="1:18" s="142" customFormat="1" ht="19.5" thickBot="1" x14ac:dyDescent="0.35">
      <c r="A32" s="289"/>
      <c r="B32" s="295"/>
      <c r="C32" s="295"/>
      <c r="D32" s="145" t="s">
        <v>21</v>
      </c>
      <c r="E32" s="89"/>
      <c r="F32" s="89"/>
      <c r="G32" s="89">
        <v>200</v>
      </c>
      <c r="H32" s="89"/>
      <c r="I32" s="88"/>
      <c r="J32" s="88"/>
      <c r="K32" s="88"/>
      <c r="L32" s="88">
        <f t="shared" si="5"/>
        <v>0</v>
      </c>
      <c r="M32" s="140"/>
      <c r="N32" s="141">
        <f t="shared" si="21"/>
        <v>200</v>
      </c>
    </row>
    <row r="33" spans="1:15" s="136" customFormat="1" x14ac:dyDescent="0.3">
      <c r="A33" s="289" t="s">
        <v>85</v>
      </c>
      <c r="B33" s="295" t="s">
        <v>92</v>
      </c>
      <c r="C33" s="295" t="str">
        <f>'пр 6 к МП'!C27</f>
        <v>Организация транспортного обслуживания  на территории Туруханского района</v>
      </c>
      <c r="D33" s="156" t="s">
        <v>37</v>
      </c>
      <c r="E33" s="83">
        <f t="shared" ref="E33:H33" si="22">SUM(E35:E39)</f>
        <v>119174.72440000001</v>
      </c>
      <c r="F33" s="83">
        <f t="shared" si="22"/>
        <v>81921.9133</v>
      </c>
      <c r="G33" s="83">
        <f t="shared" si="22"/>
        <v>94460.706969999999</v>
      </c>
      <c r="H33" s="83">
        <f t="shared" si="22"/>
        <v>91047.031289999984</v>
      </c>
      <c r="I33" s="84">
        <f>SUM(I35:I39)</f>
        <v>111083.26699999999</v>
      </c>
      <c r="J33" s="84">
        <f t="shared" ref="J33:K33" si="23">SUM(J35:J39)</f>
        <v>112014.91</v>
      </c>
      <c r="K33" s="84">
        <f t="shared" si="23"/>
        <v>112014.91</v>
      </c>
      <c r="L33" s="84">
        <f t="shared" si="5"/>
        <v>335113.087</v>
      </c>
      <c r="M33" s="134">
        <f>L33-'пр 6 к МП'!L27</f>
        <v>0</v>
      </c>
      <c r="N33" s="135">
        <f>SUM(E33:K33)</f>
        <v>721717.46296000003</v>
      </c>
      <c r="O33" s="136" t="b">
        <f>SUM(N35:N39)=N33</f>
        <v>1</v>
      </c>
    </row>
    <row r="34" spans="1:15" s="139" customFormat="1" x14ac:dyDescent="0.3">
      <c r="A34" s="289"/>
      <c r="B34" s="295"/>
      <c r="C34" s="295"/>
      <c r="D34" s="145" t="s">
        <v>20</v>
      </c>
      <c r="E34" s="89"/>
      <c r="F34" s="89"/>
      <c r="G34" s="89"/>
      <c r="H34" s="89"/>
      <c r="I34" s="88"/>
      <c r="J34" s="88"/>
      <c r="K34" s="88"/>
      <c r="L34" s="88"/>
      <c r="M34" s="137"/>
      <c r="N34" s="138"/>
    </row>
    <row r="35" spans="1:15" s="139" customFormat="1" x14ac:dyDescent="0.3">
      <c r="A35" s="289"/>
      <c r="B35" s="295"/>
      <c r="C35" s="295"/>
      <c r="D35" s="7" t="s">
        <v>101</v>
      </c>
      <c r="E35" s="89"/>
      <c r="F35" s="89"/>
      <c r="G35" s="89"/>
      <c r="H35" s="89"/>
      <c r="I35" s="88"/>
      <c r="J35" s="88"/>
      <c r="K35" s="88"/>
      <c r="L35" s="88">
        <f t="shared" si="5"/>
        <v>0</v>
      </c>
      <c r="M35" s="137"/>
      <c r="N35" s="138"/>
    </row>
    <row r="36" spans="1:15" s="139" customFormat="1" x14ac:dyDescent="0.3">
      <c r="A36" s="289"/>
      <c r="B36" s="295"/>
      <c r="C36" s="295"/>
      <c r="D36" s="145" t="s">
        <v>102</v>
      </c>
      <c r="E36" s="89"/>
      <c r="F36" s="89"/>
      <c r="G36" s="89"/>
      <c r="H36" s="89"/>
      <c r="I36" s="88"/>
      <c r="J36" s="88"/>
      <c r="K36" s="88"/>
      <c r="L36" s="88">
        <f t="shared" si="5"/>
        <v>0</v>
      </c>
      <c r="M36" s="137"/>
      <c r="N36" s="138">
        <f t="shared" ref="N36:N39" si="24">SUM(E36:K36)</f>
        <v>0</v>
      </c>
    </row>
    <row r="37" spans="1:15" s="139" customFormat="1" x14ac:dyDescent="0.3">
      <c r="A37" s="289"/>
      <c r="B37" s="295"/>
      <c r="C37" s="295"/>
      <c r="D37" s="145" t="s">
        <v>40</v>
      </c>
      <c r="E37" s="89">
        <v>119174.72440000001</v>
      </c>
      <c r="F37" s="89">
        <v>81921.9133</v>
      </c>
      <c r="G37" s="89">
        <v>94460.706969999999</v>
      </c>
      <c r="H37" s="89">
        <v>91047.031289999984</v>
      </c>
      <c r="I37" s="88">
        <f>'пр к ПП2'!H15+'пр к ПП2'!H17+'пр к ПП2'!H22</f>
        <v>111083.26699999999</v>
      </c>
      <c r="J37" s="88">
        <f>'пр к ПП2'!I15+'пр к ПП2'!I17+'пр к ПП2'!I22</f>
        <v>112014.91</v>
      </c>
      <c r="K37" s="88">
        <f>'пр к ПП2'!J15+'пр к ПП2'!J17+'пр к ПП2'!J22</f>
        <v>112014.91</v>
      </c>
      <c r="L37" s="88">
        <f t="shared" si="5"/>
        <v>335113.087</v>
      </c>
      <c r="M37" s="137"/>
      <c r="N37" s="138">
        <f t="shared" si="24"/>
        <v>721717.46296000003</v>
      </c>
    </row>
    <row r="38" spans="1:15" s="139" customFormat="1" ht="48" x14ac:dyDescent="0.3">
      <c r="A38" s="289"/>
      <c r="B38" s="295"/>
      <c r="C38" s="295"/>
      <c r="D38" s="8" t="s">
        <v>103</v>
      </c>
      <c r="E38" s="90"/>
      <c r="F38" s="90"/>
      <c r="G38" s="90"/>
      <c r="H38" s="90"/>
      <c r="I38" s="88"/>
      <c r="J38" s="88"/>
      <c r="K38" s="88"/>
      <c r="L38" s="88">
        <f t="shared" si="5"/>
        <v>0</v>
      </c>
      <c r="M38" s="137"/>
      <c r="N38" s="138">
        <f t="shared" si="24"/>
        <v>0</v>
      </c>
    </row>
    <row r="39" spans="1:15" s="142" customFormat="1" ht="19.5" thickBot="1" x14ac:dyDescent="0.35">
      <c r="A39" s="289"/>
      <c r="B39" s="295"/>
      <c r="C39" s="295"/>
      <c r="D39" s="145" t="s">
        <v>21</v>
      </c>
      <c r="E39" s="89"/>
      <c r="F39" s="89"/>
      <c r="G39" s="89"/>
      <c r="H39" s="89"/>
      <c r="I39" s="88"/>
      <c r="J39" s="88"/>
      <c r="K39" s="88"/>
      <c r="L39" s="88">
        <f t="shared" si="5"/>
        <v>0</v>
      </c>
      <c r="M39" s="140"/>
      <c r="N39" s="141">
        <f t="shared" si="24"/>
        <v>0</v>
      </c>
    </row>
    <row r="40" spans="1:15" s="136" customFormat="1" x14ac:dyDescent="0.3">
      <c r="A40" s="289" t="s">
        <v>87</v>
      </c>
      <c r="B40" s="295" t="s">
        <v>93</v>
      </c>
      <c r="C40" s="295" t="str">
        <f>'пр 6 к МП'!C32</f>
        <v>Безопасность дорожного движения в Туруханском районе</v>
      </c>
      <c r="D40" s="156" t="s">
        <v>37</v>
      </c>
      <c r="E40" s="83">
        <f t="shared" ref="E40:H40" si="25">SUM(E42:E46)</f>
        <v>23.4</v>
      </c>
      <c r="F40" s="83">
        <f t="shared" si="25"/>
        <v>0</v>
      </c>
      <c r="G40" s="83">
        <f t="shared" si="25"/>
        <v>463.12</v>
      </c>
      <c r="H40" s="83">
        <f t="shared" si="25"/>
        <v>152.5</v>
      </c>
      <c r="I40" s="84">
        <f>SUM(I42:I46)</f>
        <v>220.5</v>
      </c>
      <c r="J40" s="84">
        <f t="shared" ref="J40:K40" si="26">SUM(J42:J46)</f>
        <v>0</v>
      </c>
      <c r="K40" s="84">
        <f t="shared" si="26"/>
        <v>0</v>
      </c>
      <c r="L40" s="84">
        <f t="shared" si="5"/>
        <v>220.5</v>
      </c>
      <c r="M40" s="143">
        <f>L40-'пр 6 к МП'!L32</f>
        <v>0</v>
      </c>
      <c r="N40" s="135">
        <f t="shared" ref="N40" si="27">SUM(E40:K40)</f>
        <v>859.52</v>
      </c>
      <c r="O40" s="136" t="b">
        <f>SUM(N42:N46)=N40</f>
        <v>1</v>
      </c>
    </row>
    <row r="41" spans="1:15" s="139" customFormat="1" x14ac:dyDescent="0.3">
      <c r="A41" s="289"/>
      <c r="B41" s="295"/>
      <c r="C41" s="295"/>
      <c r="D41" s="145" t="s">
        <v>20</v>
      </c>
      <c r="E41" s="89"/>
      <c r="F41" s="89"/>
      <c r="G41" s="89"/>
      <c r="H41" s="89"/>
      <c r="I41" s="88"/>
      <c r="J41" s="88"/>
      <c r="K41" s="88"/>
      <c r="L41" s="88"/>
      <c r="M41" s="137"/>
      <c r="N41" s="138"/>
    </row>
    <row r="42" spans="1:15" s="139" customFormat="1" x14ac:dyDescent="0.3">
      <c r="A42" s="289"/>
      <c r="B42" s="295"/>
      <c r="C42" s="295"/>
      <c r="D42" s="7" t="s">
        <v>101</v>
      </c>
      <c r="E42" s="89"/>
      <c r="F42" s="89"/>
      <c r="G42" s="89"/>
      <c r="H42" s="89"/>
      <c r="I42" s="88"/>
      <c r="J42" s="88"/>
      <c r="K42" s="88"/>
      <c r="L42" s="88">
        <f t="shared" si="5"/>
        <v>0</v>
      </c>
      <c r="M42" s="137"/>
      <c r="N42" s="138"/>
    </row>
    <row r="43" spans="1:15" s="139" customFormat="1" x14ac:dyDescent="0.3">
      <c r="A43" s="289"/>
      <c r="B43" s="295"/>
      <c r="C43" s="295"/>
      <c r="D43" s="145" t="s">
        <v>102</v>
      </c>
      <c r="E43" s="89">
        <v>23.4</v>
      </c>
      <c r="F43" s="89">
        <v>0</v>
      </c>
      <c r="G43" s="89">
        <v>142.636</v>
      </c>
      <c r="H43" s="89">
        <v>152</v>
      </c>
      <c r="I43" s="88">
        <f>'пр к ПП3'!H18+'пр к ПП3'!H15</f>
        <v>220.5</v>
      </c>
      <c r="J43" s="88">
        <f>'пр к ПП3'!I18+'пр к ПП3'!I15</f>
        <v>0</v>
      </c>
      <c r="K43" s="88">
        <f>'пр к ПП3'!J18+'пр к ПП3'!J15</f>
        <v>0</v>
      </c>
      <c r="L43" s="88">
        <f t="shared" si="5"/>
        <v>220.5</v>
      </c>
      <c r="M43" s="137"/>
      <c r="N43" s="138">
        <f t="shared" ref="N43:N44" si="28">SUM(E43:K43)</f>
        <v>538.53600000000006</v>
      </c>
    </row>
    <row r="44" spans="1:15" s="139" customFormat="1" x14ac:dyDescent="0.3">
      <c r="A44" s="289"/>
      <c r="B44" s="295"/>
      <c r="C44" s="295"/>
      <c r="D44" s="145" t="s">
        <v>40</v>
      </c>
      <c r="E44" s="89">
        <v>0</v>
      </c>
      <c r="F44" s="89">
        <v>0</v>
      </c>
      <c r="G44" s="89">
        <v>320.48399999999998</v>
      </c>
      <c r="H44" s="89">
        <v>0.5</v>
      </c>
      <c r="I44" s="88">
        <f>'пр к ПП3'!H16</f>
        <v>0</v>
      </c>
      <c r="J44" s="88">
        <f>'пр к ПП3'!I16</f>
        <v>0</v>
      </c>
      <c r="K44" s="88">
        <f>'пр к ПП3'!J16</f>
        <v>0</v>
      </c>
      <c r="L44" s="88">
        <f t="shared" si="5"/>
        <v>0</v>
      </c>
      <c r="M44" s="137"/>
      <c r="N44" s="138">
        <f t="shared" si="28"/>
        <v>320.98399999999998</v>
      </c>
    </row>
    <row r="45" spans="1:15" s="139" customFormat="1" ht="48" x14ac:dyDescent="0.3">
      <c r="A45" s="289"/>
      <c r="B45" s="295"/>
      <c r="C45" s="295"/>
      <c r="D45" s="8" t="s">
        <v>103</v>
      </c>
      <c r="E45" s="90"/>
      <c r="F45" s="90"/>
      <c r="G45" s="90"/>
      <c r="H45" s="90"/>
      <c r="I45" s="88"/>
      <c r="J45" s="88"/>
      <c r="K45" s="88"/>
      <c r="L45" s="88">
        <f t="shared" si="5"/>
        <v>0</v>
      </c>
      <c r="M45" s="137"/>
      <c r="N45" s="138"/>
    </row>
    <row r="46" spans="1:15" s="142" customFormat="1" ht="19.5" thickBot="1" x14ac:dyDescent="0.35">
      <c r="A46" s="289"/>
      <c r="B46" s="295"/>
      <c r="C46" s="295"/>
      <c r="D46" s="145" t="s">
        <v>21</v>
      </c>
      <c r="E46" s="89"/>
      <c r="F46" s="89"/>
      <c r="G46" s="89"/>
      <c r="H46" s="89"/>
      <c r="I46" s="88"/>
      <c r="J46" s="88"/>
      <c r="K46" s="88"/>
      <c r="L46" s="88">
        <f t="shared" si="5"/>
        <v>0</v>
      </c>
      <c r="M46" s="140"/>
      <c r="N46" s="141"/>
    </row>
    <row r="47" spans="1:15" s="136" customFormat="1" x14ac:dyDescent="0.3">
      <c r="A47" s="289" t="s">
        <v>88</v>
      </c>
      <c r="B47" s="295" t="s">
        <v>94</v>
      </c>
      <c r="C47" s="295" t="str">
        <f>'пр 6 к МП'!C36</f>
        <v>Развитие связи на территории Туруханского района</v>
      </c>
      <c r="D47" s="156" t="s">
        <v>37</v>
      </c>
      <c r="E47" s="83">
        <f t="shared" ref="E47:H47" si="29">SUM(E49:E53)</f>
        <v>7523.8671199999999</v>
      </c>
      <c r="F47" s="83">
        <f t="shared" si="29"/>
        <v>11940</v>
      </c>
      <c r="G47" s="83">
        <f t="shared" si="29"/>
        <v>9390.4</v>
      </c>
      <c r="H47" s="83">
        <f t="shared" si="29"/>
        <v>12264.716</v>
      </c>
      <c r="I47" s="84">
        <f>SUM(I49:I53)</f>
        <v>13067.337</v>
      </c>
      <c r="J47" s="84">
        <f t="shared" ref="J47:K47" si="30">SUM(J49:J53)</f>
        <v>10600</v>
      </c>
      <c r="K47" s="84">
        <f t="shared" si="30"/>
        <v>10600</v>
      </c>
      <c r="L47" s="84">
        <f t="shared" si="5"/>
        <v>34267.337</v>
      </c>
      <c r="M47" s="134">
        <f>L47-'пр 6 к МП'!L36</f>
        <v>0</v>
      </c>
      <c r="N47" s="135">
        <f t="shared" ref="N47" si="31">SUM(E47:K47)</f>
        <v>75386.320119999989</v>
      </c>
      <c r="O47" s="136" t="b">
        <f>SUM(N49:N53)=N47</f>
        <v>1</v>
      </c>
    </row>
    <row r="48" spans="1:15" s="139" customFormat="1" x14ac:dyDescent="0.3">
      <c r="A48" s="289"/>
      <c r="B48" s="295"/>
      <c r="C48" s="295"/>
      <c r="D48" s="145" t="s">
        <v>20</v>
      </c>
      <c r="E48" s="89"/>
      <c r="F48" s="89"/>
      <c r="G48" s="89"/>
      <c r="H48" s="89"/>
      <c r="I48" s="88"/>
      <c r="J48" s="88"/>
      <c r="K48" s="88"/>
      <c r="L48" s="88"/>
      <c r="M48" s="137"/>
      <c r="N48" s="138"/>
    </row>
    <row r="49" spans="1:14" s="139" customFormat="1" x14ac:dyDescent="0.3">
      <c r="A49" s="289"/>
      <c r="B49" s="295"/>
      <c r="C49" s="295"/>
      <c r="D49" s="7" t="s">
        <v>101</v>
      </c>
      <c r="E49" s="89"/>
      <c r="F49" s="89"/>
      <c r="G49" s="89"/>
      <c r="H49" s="89"/>
      <c r="I49" s="88"/>
      <c r="J49" s="88"/>
      <c r="K49" s="88"/>
      <c r="L49" s="88">
        <f t="shared" si="5"/>
        <v>0</v>
      </c>
      <c r="M49" s="137"/>
      <c r="N49" s="138"/>
    </row>
    <row r="50" spans="1:14" s="139" customFormat="1" x14ac:dyDescent="0.3">
      <c r="A50" s="289"/>
      <c r="B50" s="295"/>
      <c r="C50" s="295"/>
      <c r="D50" s="145" t="s">
        <v>102</v>
      </c>
      <c r="E50" s="89"/>
      <c r="F50" s="89"/>
      <c r="G50" s="89"/>
      <c r="H50" s="89">
        <v>2260</v>
      </c>
      <c r="I50" s="88">
        <f>'пр к ПП4'!H17</f>
        <v>3062.2</v>
      </c>
      <c r="J50" s="88">
        <f>'пр к ПП4'!I17</f>
        <v>0</v>
      </c>
      <c r="K50" s="88">
        <f>'пр к ПП4'!J17</f>
        <v>0</v>
      </c>
      <c r="L50" s="88">
        <f t="shared" si="5"/>
        <v>3062.2</v>
      </c>
      <c r="M50" s="137"/>
      <c r="N50" s="138">
        <f t="shared" ref="N50:N51" si="32">SUM(E50:K50)</f>
        <v>5322.2</v>
      </c>
    </row>
    <row r="51" spans="1:14" s="139" customFormat="1" x14ac:dyDescent="0.3">
      <c r="A51" s="289"/>
      <c r="B51" s="295"/>
      <c r="C51" s="295"/>
      <c r="D51" s="145" t="s">
        <v>40</v>
      </c>
      <c r="E51" s="89">
        <v>7523.8671199999999</v>
      </c>
      <c r="F51" s="89">
        <v>11940</v>
      </c>
      <c r="G51" s="89">
        <v>9390.4</v>
      </c>
      <c r="H51" s="89">
        <v>10004.716</v>
      </c>
      <c r="I51" s="88">
        <f>'пр к ПП4'!H15+'пр к ПП4'!H18</f>
        <v>10005.137000000001</v>
      </c>
      <c r="J51" s="88">
        <f>'пр к ПП4'!I15+'пр к ПП4'!I18</f>
        <v>10600</v>
      </c>
      <c r="K51" s="88">
        <f>'пр к ПП4'!J15+'пр к ПП4'!J18</f>
        <v>10600</v>
      </c>
      <c r="L51" s="88">
        <f t="shared" si="5"/>
        <v>31205.137000000002</v>
      </c>
      <c r="M51" s="137"/>
      <c r="N51" s="138">
        <f t="shared" si="32"/>
        <v>70064.120120000007</v>
      </c>
    </row>
    <row r="52" spans="1:14" s="139" customFormat="1" ht="48" x14ac:dyDescent="0.3">
      <c r="A52" s="289"/>
      <c r="B52" s="295"/>
      <c r="C52" s="295"/>
      <c r="D52" s="8" t="s">
        <v>103</v>
      </c>
      <c r="E52" s="90"/>
      <c r="F52" s="90"/>
      <c r="G52" s="90"/>
      <c r="H52" s="90"/>
      <c r="I52" s="88"/>
      <c r="J52" s="88"/>
      <c r="K52" s="88"/>
      <c r="L52" s="88">
        <f t="shared" si="5"/>
        <v>0</v>
      </c>
      <c r="M52" s="137"/>
      <c r="N52" s="138"/>
    </row>
    <row r="53" spans="1:14" s="142" customFormat="1" ht="19.5" thickBot="1" x14ac:dyDescent="0.35">
      <c r="A53" s="289"/>
      <c r="B53" s="295"/>
      <c r="C53" s="295"/>
      <c r="D53" s="145" t="s">
        <v>21</v>
      </c>
      <c r="E53" s="89"/>
      <c r="F53" s="89"/>
      <c r="G53" s="89"/>
      <c r="H53" s="89"/>
      <c r="I53" s="88"/>
      <c r="J53" s="88"/>
      <c r="K53" s="88"/>
      <c r="L53" s="88">
        <f t="shared" si="5"/>
        <v>0</v>
      </c>
      <c r="M53" s="140"/>
      <c r="N53" s="141"/>
    </row>
    <row r="58" spans="1:14" s="1" customFormat="1" ht="15.75" x14ac:dyDescent="0.25">
      <c r="A58" s="4"/>
      <c r="B58" s="1" t="s">
        <v>236</v>
      </c>
      <c r="E58" s="4"/>
    </row>
    <row r="59" spans="1:14" s="1" customFormat="1" ht="15.75" x14ac:dyDescent="0.25">
      <c r="A59" s="4"/>
      <c r="B59" s="1" t="s">
        <v>237</v>
      </c>
      <c r="E59" s="4"/>
      <c r="I59" s="1" t="e">
        <f>I26='пр к ПП1'!H26</f>
        <v>#VALUE!</v>
      </c>
      <c r="J59" s="1" t="b">
        <f>J26='пр к ПП1'!I26</f>
        <v>1</v>
      </c>
      <c r="K59" s="1" t="b">
        <f>K26='пр к ПП1'!J26</f>
        <v>1</v>
      </c>
      <c r="L59" s="1" t="e">
        <f>L26='пр к ПП1'!K26</f>
        <v>#VALUE!</v>
      </c>
      <c r="M59" s="1" t="b">
        <f>M35='пр к ПП1'!K38</f>
        <v>1</v>
      </c>
    </row>
    <row r="60" spans="1:14" s="1" customFormat="1" ht="15.75" x14ac:dyDescent="0.25">
      <c r="A60" s="4"/>
      <c r="B60" s="1" t="s">
        <v>238</v>
      </c>
      <c r="E60" s="4"/>
      <c r="I60" s="1" t="b">
        <f>I33='пр к ПП2'!H24</f>
        <v>1</v>
      </c>
      <c r="J60" s="1" t="b">
        <f>J33='пр к ПП2'!I24</f>
        <v>1</v>
      </c>
      <c r="K60" s="1" t="b">
        <f>K33='пр к ПП2'!J24</f>
        <v>1</v>
      </c>
      <c r="L60" s="1" t="b">
        <f>L33='пр к ПП2'!K24</f>
        <v>1</v>
      </c>
      <c r="M60" s="1" t="b">
        <f>M39='пр к ПП2'!K36</f>
        <v>1</v>
      </c>
    </row>
    <row r="61" spans="1:14" s="1" customFormat="1" ht="15.75" x14ac:dyDescent="0.25">
      <c r="A61" s="4"/>
      <c r="B61" s="1" t="s">
        <v>239</v>
      </c>
      <c r="E61" s="4"/>
      <c r="I61" s="1" t="b">
        <f>I40='пр к ПП3'!H22</f>
        <v>1</v>
      </c>
      <c r="J61" s="1" t="b">
        <f>J40='пр к ПП3'!I22</f>
        <v>1</v>
      </c>
      <c r="K61" s="1" t="b">
        <f>K40='пр к ПП3'!J22</f>
        <v>1</v>
      </c>
      <c r="L61" s="1" t="b">
        <f>L40='пр к ПП3'!K22</f>
        <v>1</v>
      </c>
      <c r="M61" s="1" t="b">
        <f>M43='пр к ПП3'!K34</f>
        <v>1</v>
      </c>
    </row>
    <row r="62" spans="1:14" s="1" customFormat="1" ht="15.75" x14ac:dyDescent="0.25">
      <c r="A62" s="4"/>
      <c r="B62" s="1" t="s">
        <v>240</v>
      </c>
      <c r="E62" s="4"/>
      <c r="I62" s="1" t="b">
        <f>I47='пр к ПП4'!H20</f>
        <v>1</v>
      </c>
      <c r="J62" s="1" t="b">
        <f>J47='пр к ПП4'!I20</f>
        <v>1</v>
      </c>
      <c r="K62" s="1" t="b">
        <f>K47='пр к ПП4'!J20</f>
        <v>1</v>
      </c>
      <c r="L62" s="1" t="b">
        <f>L47='пр к ПП4'!K20</f>
        <v>1</v>
      </c>
      <c r="M62" s="1" t="b">
        <f>M47='пр к ПП4'!L20</f>
        <v>0</v>
      </c>
    </row>
    <row r="63" spans="1:14" s="1" customFormat="1" ht="15.75" x14ac:dyDescent="0.25">
      <c r="A63" s="4"/>
      <c r="E63" s="4"/>
    </row>
    <row r="64" spans="1:14" s="1" customFormat="1" ht="15.75" x14ac:dyDescent="0.25">
      <c r="A64" s="4"/>
      <c r="E64" s="4"/>
    </row>
    <row r="65" spans="1:13" s="1" customFormat="1" ht="15.75" x14ac:dyDescent="0.25">
      <c r="A65" s="4"/>
      <c r="B65" s="1" t="s">
        <v>237</v>
      </c>
      <c r="E65" s="4"/>
      <c r="I65" s="129" t="e">
        <f>I26-'пр к ПП1'!H26</f>
        <v>#VALUE!</v>
      </c>
      <c r="J65" s="129">
        <f>J26-'пр к ПП1'!I26</f>
        <v>0</v>
      </c>
      <c r="K65" s="129">
        <f>K26-'пр к ПП1'!J26</f>
        <v>0</v>
      </c>
      <c r="L65" s="129" t="e">
        <f>L26-'пр к ПП1'!K26</f>
        <v>#VALUE!</v>
      </c>
      <c r="M65" s="129">
        <f>M35-'пр к ПП1'!K38</f>
        <v>0</v>
      </c>
    </row>
    <row r="66" spans="1:13" s="1" customFormat="1" ht="15.75" x14ac:dyDescent="0.25">
      <c r="A66" s="4"/>
      <c r="B66" s="1" t="s">
        <v>238</v>
      </c>
      <c r="E66" s="4"/>
      <c r="I66" s="129">
        <f>I33-'пр к ПП2'!H24</f>
        <v>0</v>
      </c>
      <c r="J66" s="129">
        <f>J33-'пр к ПП2'!I24</f>
        <v>0</v>
      </c>
      <c r="K66" s="129">
        <f>K33-'пр к ПП2'!J24</f>
        <v>0</v>
      </c>
      <c r="L66" s="129">
        <f>L33-'пр к ПП2'!K24</f>
        <v>0</v>
      </c>
      <c r="M66" s="129">
        <f>M39-'пр к ПП2'!K36</f>
        <v>0</v>
      </c>
    </row>
    <row r="67" spans="1:13" s="1" customFormat="1" ht="15.75" x14ac:dyDescent="0.25">
      <c r="A67" s="4"/>
      <c r="B67" s="1" t="s">
        <v>239</v>
      </c>
      <c r="E67" s="4"/>
      <c r="I67" s="129">
        <f>I40-'пр к ПП3'!H22</f>
        <v>0</v>
      </c>
      <c r="J67" s="129">
        <f>J40-'пр к ПП3'!I22</f>
        <v>0</v>
      </c>
      <c r="K67" s="129">
        <f>K40-'пр к ПП3'!J22</f>
        <v>0</v>
      </c>
      <c r="L67" s="129">
        <f>L40-'пр к ПП3'!K22</f>
        <v>0</v>
      </c>
      <c r="M67" s="129">
        <f>M43-'пр к ПП3'!K34</f>
        <v>0</v>
      </c>
    </row>
    <row r="68" spans="1:13" s="1" customFormat="1" ht="15.75" x14ac:dyDescent="0.25">
      <c r="A68" s="4"/>
      <c r="B68" s="1" t="s">
        <v>240</v>
      </c>
      <c r="E68" s="4"/>
      <c r="I68" s="129">
        <f>I47-'пр к ПП4'!H20</f>
        <v>0</v>
      </c>
      <c r="J68" s="129">
        <f>J47-'пр к ПП4'!I20</f>
        <v>0</v>
      </c>
      <c r="K68" s="129">
        <f>K47-'пр к ПП4'!J20</f>
        <v>0</v>
      </c>
      <c r="L68" s="129">
        <f>L47-'пр к ПП4'!K20</f>
        <v>0</v>
      </c>
      <c r="M68" s="129">
        <f>M47-'пр к ПП4'!K32</f>
        <v>0</v>
      </c>
    </row>
  </sheetData>
  <mergeCells count="28">
    <mergeCell ref="A40:A46"/>
    <mergeCell ref="B40:B46"/>
    <mergeCell ref="C40:C46"/>
    <mergeCell ref="A47:A53"/>
    <mergeCell ref="L16:L17"/>
    <mergeCell ref="A19:A25"/>
    <mergeCell ref="B19:B25"/>
    <mergeCell ref="C19:C25"/>
    <mergeCell ref="A33:A39"/>
    <mergeCell ref="B33:B39"/>
    <mergeCell ref="C33:C39"/>
    <mergeCell ref="B47:B53"/>
    <mergeCell ref="C47:C53"/>
    <mergeCell ref="A26:A32"/>
    <mergeCell ref="B26:B32"/>
    <mergeCell ref="C26:C32"/>
    <mergeCell ref="A16:A17"/>
    <mergeCell ref="B16:B17"/>
    <mergeCell ref="C16:C17"/>
    <mergeCell ref="D16:D17"/>
    <mergeCell ref="A13:L13"/>
    <mergeCell ref="J1:L1"/>
    <mergeCell ref="A12:L12"/>
    <mergeCell ref="J5:L5"/>
    <mergeCell ref="A8:L8"/>
    <mergeCell ref="A9:L9"/>
    <mergeCell ref="A10:L10"/>
    <mergeCell ref="A11:L11"/>
  </mergeCells>
  <pageMargins left="0.78740157480314965" right="0.78740157480314965" top="1.1811023622047245" bottom="0.2" header="0.31496062992125984" footer="0.31496062992125984"/>
  <pageSetup paperSize="9" scale="82" fitToHeight="0" orientation="landscape" r:id="rId1"/>
  <rowBreaks count="2" manualBreakCount="2">
    <brk id="25" max="11" man="1"/>
    <brk id="46" max="11" man="1"/>
  </rowBreaks>
  <colBreaks count="2" manualBreakCount="2">
    <brk id="9" max="1048575" man="1"/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Zeros="0" topLeftCell="C4" zoomScale="85" zoomScaleNormal="85" workbookViewId="0">
      <selection activeCell="G19" sqref="G19"/>
    </sheetView>
  </sheetViews>
  <sheetFormatPr defaultRowHeight="15.75" x14ac:dyDescent="0.25"/>
  <cols>
    <col min="2" max="2" width="5" style="67" bestFit="1" customWidth="1"/>
    <col min="3" max="3" width="22.75" customWidth="1"/>
    <col min="4" max="4" width="25.375" customWidth="1"/>
    <col min="5" max="5" width="15.375" customWidth="1"/>
    <col min="6" max="6" width="10.375" bestFit="1" customWidth="1"/>
    <col min="13" max="13" width="10.375" bestFit="1" customWidth="1"/>
  </cols>
  <sheetData>
    <row r="1" spans="1:16" x14ac:dyDescent="0.25">
      <c r="A1" s="296"/>
      <c r="B1" s="297" t="s">
        <v>19</v>
      </c>
      <c r="C1" s="297" t="s">
        <v>180</v>
      </c>
      <c r="D1" s="297" t="s">
        <v>181</v>
      </c>
      <c r="E1" s="297" t="s">
        <v>182</v>
      </c>
      <c r="F1" s="297" t="s">
        <v>183</v>
      </c>
      <c r="G1" s="297"/>
      <c r="H1" s="297"/>
      <c r="I1" s="297"/>
      <c r="J1" s="297"/>
      <c r="K1" s="301"/>
      <c r="M1" s="297" t="s">
        <v>183</v>
      </c>
      <c r="N1" s="297"/>
      <c r="O1" s="297"/>
      <c r="P1" s="297"/>
    </row>
    <row r="2" spans="1:16" x14ac:dyDescent="0.25">
      <c r="A2" s="296"/>
      <c r="B2" s="297"/>
      <c r="C2" s="297"/>
      <c r="D2" s="297"/>
      <c r="E2" s="297"/>
      <c r="F2" s="297" t="s">
        <v>184</v>
      </c>
      <c r="G2" s="297"/>
      <c r="H2" s="297"/>
      <c r="I2" s="297"/>
      <c r="J2" s="297" t="s">
        <v>185</v>
      </c>
      <c r="K2" s="301"/>
      <c r="M2" s="297" t="s">
        <v>184</v>
      </c>
      <c r="N2" s="297"/>
      <c r="O2" s="297"/>
      <c r="P2" s="297"/>
    </row>
    <row r="3" spans="1:16" x14ac:dyDescent="0.25">
      <c r="A3" s="296"/>
      <c r="B3" s="297"/>
      <c r="C3" s="297"/>
      <c r="D3" s="297"/>
      <c r="E3" s="297"/>
      <c r="F3" s="297" t="s">
        <v>186</v>
      </c>
      <c r="G3" s="297"/>
      <c r="H3" s="297"/>
      <c r="I3" s="297" t="s">
        <v>187</v>
      </c>
      <c r="J3" s="297"/>
      <c r="K3" s="301"/>
      <c r="M3" s="297" t="s">
        <v>186</v>
      </c>
      <c r="N3" s="297"/>
      <c r="O3" s="297"/>
      <c r="P3" s="297" t="s">
        <v>187</v>
      </c>
    </row>
    <row r="4" spans="1:16" x14ac:dyDescent="0.25">
      <c r="A4" s="296"/>
      <c r="B4" s="297"/>
      <c r="C4" s="297"/>
      <c r="D4" s="297"/>
      <c r="E4" s="297"/>
      <c r="F4" s="179">
        <v>2018</v>
      </c>
      <c r="G4" s="179">
        <v>2019</v>
      </c>
      <c r="H4" s="179">
        <v>2020</v>
      </c>
      <c r="I4" s="297"/>
      <c r="J4" s="297"/>
      <c r="K4" s="301"/>
      <c r="M4" s="152">
        <v>2018</v>
      </c>
      <c r="N4" s="152">
        <v>2019</v>
      </c>
      <c r="O4" s="152">
        <v>2020</v>
      </c>
      <c r="P4" s="297"/>
    </row>
    <row r="5" spans="1:16" ht="15.75" customHeight="1" x14ac:dyDescent="0.25">
      <c r="A5" s="296"/>
      <c r="B5" s="298">
        <v>1</v>
      </c>
      <c r="C5" s="299" t="str">
        <f>'пр к ПП1'!B15</f>
        <v>Расходы на содержание автомобильных дорог общего пользования местного значения за счет средств дорожного фонда Красноярского края</v>
      </c>
      <c r="D5" s="65" t="s">
        <v>196</v>
      </c>
      <c r="E5" s="297" t="s">
        <v>189</v>
      </c>
      <c r="F5" s="68">
        <f>SUM(F6:F12)</f>
        <v>25.380400000000002</v>
      </c>
      <c r="G5" s="68">
        <f>SUM(G6:G12)</f>
        <v>0</v>
      </c>
      <c r="H5" s="68">
        <f>SUM(H6:H12)</f>
        <v>0</v>
      </c>
      <c r="I5" s="68">
        <f t="shared" ref="I5:I21" si="0">SUM(F5:H5)</f>
        <v>25.380400000000002</v>
      </c>
      <c r="J5" s="297" t="s">
        <v>197</v>
      </c>
      <c r="K5" s="301"/>
      <c r="M5" s="175">
        <f>SUM(M6:M12)</f>
        <v>25380.400000000001</v>
      </c>
      <c r="N5" s="172">
        <f>SUM(N6:N12)</f>
        <v>0</v>
      </c>
      <c r="O5" s="172">
        <f>SUM(O6:O12)</f>
        <v>0</v>
      </c>
      <c r="P5" s="172">
        <f t="shared" ref="P5" si="1">SUM(M5:O5)</f>
        <v>25380.400000000001</v>
      </c>
    </row>
    <row r="6" spans="1:16" ht="25.5" x14ac:dyDescent="0.25">
      <c r="A6" s="296"/>
      <c r="B6" s="298"/>
      <c r="C6" s="299"/>
      <c r="D6" s="59" t="s">
        <v>194</v>
      </c>
      <c r="E6" s="297"/>
      <c r="F6" s="78">
        <f>M6/1000</f>
        <v>3.8079000000000001</v>
      </c>
      <c r="G6" s="78">
        <f t="shared" ref="G6:H12" si="2">N6/1000</f>
        <v>0</v>
      </c>
      <c r="H6" s="78">
        <f t="shared" si="2"/>
        <v>0</v>
      </c>
      <c r="I6" s="68">
        <f t="shared" si="0"/>
        <v>3.8079000000000001</v>
      </c>
      <c r="J6" s="297"/>
      <c r="K6" s="301"/>
      <c r="M6" s="149">
        <f>F34</f>
        <v>3807.9</v>
      </c>
      <c r="N6" s="174"/>
      <c r="O6" s="174"/>
      <c r="P6" s="172"/>
    </row>
    <row r="7" spans="1:16" ht="25.5" x14ac:dyDescent="0.25">
      <c r="A7" s="296"/>
      <c r="B7" s="298"/>
      <c r="C7" s="299"/>
      <c r="D7" s="59" t="s">
        <v>203</v>
      </c>
      <c r="E7" s="297"/>
      <c r="F7" s="78">
        <f t="shared" ref="F7:F12" si="3">M7/1000</f>
        <v>0.84620000000000006</v>
      </c>
      <c r="G7" s="78">
        <f t="shared" si="2"/>
        <v>0</v>
      </c>
      <c r="H7" s="78">
        <f t="shared" si="2"/>
        <v>0</v>
      </c>
      <c r="I7" s="68">
        <f t="shared" si="0"/>
        <v>0.84620000000000006</v>
      </c>
      <c r="J7" s="297"/>
      <c r="K7" s="301"/>
      <c r="M7" s="149">
        <f t="shared" ref="M7:M12" si="4">F35</f>
        <v>846.2</v>
      </c>
      <c r="N7" s="174"/>
      <c r="O7" s="174">
        <v>0</v>
      </c>
      <c r="P7" s="172">
        <f t="shared" ref="P7:P21" si="5">SUM(M7:O7)</f>
        <v>846.2</v>
      </c>
    </row>
    <row r="8" spans="1:16" ht="25.5" x14ac:dyDescent="0.25">
      <c r="A8" s="296"/>
      <c r="B8" s="298"/>
      <c r="C8" s="299"/>
      <c r="D8" s="59" t="s">
        <v>195</v>
      </c>
      <c r="E8" s="297"/>
      <c r="F8" s="78">
        <f t="shared" si="3"/>
        <v>2.70784</v>
      </c>
      <c r="G8" s="78">
        <f t="shared" si="2"/>
        <v>0</v>
      </c>
      <c r="H8" s="78">
        <f t="shared" si="2"/>
        <v>0</v>
      </c>
      <c r="I8" s="68">
        <f t="shared" si="0"/>
        <v>2.70784</v>
      </c>
      <c r="J8" s="297"/>
      <c r="K8" s="301"/>
      <c r="M8" s="149">
        <f t="shared" si="4"/>
        <v>2707.84</v>
      </c>
      <c r="N8" s="174"/>
      <c r="O8" s="174">
        <v>0</v>
      </c>
      <c r="P8" s="172">
        <f t="shared" si="5"/>
        <v>2707.84</v>
      </c>
    </row>
    <row r="9" spans="1:16" ht="25.5" x14ac:dyDescent="0.25">
      <c r="A9" s="296"/>
      <c r="B9" s="298"/>
      <c r="C9" s="299"/>
      <c r="D9" s="59" t="s">
        <v>204</v>
      </c>
      <c r="E9" s="297"/>
      <c r="F9" s="78">
        <f t="shared" si="3"/>
        <v>0.84620000000000006</v>
      </c>
      <c r="G9" s="78">
        <f t="shared" si="2"/>
        <v>0</v>
      </c>
      <c r="H9" s="78">
        <f t="shared" si="2"/>
        <v>0</v>
      </c>
      <c r="I9" s="68">
        <f t="shared" si="0"/>
        <v>0.84620000000000006</v>
      </c>
      <c r="J9" s="297"/>
      <c r="K9" s="301"/>
      <c r="M9" s="149">
        <f t="shared" si="4"/>
        <v>846.2</v>
      </c>
      <c r="N9" s="174"/>
      <c r="O9" s="174">
        <v>0</v>
      </c>
      <c r="P9" s="172">
        <f t="shared" si="5"/>
        <v>846.2</v>
      </c>
    </row>
    <row r="10" spans="1:16" ht="25.5" customHeight="1" x14ac:dyDescent="0.25">
      <c r="A10" s="296"/>
      <c r="B10" s="298"/>
      <c r="C10" s="299"/>
      <c r="D10" s="182" t="s">
        <v>193</v>
      </c>
      <c r="E10" s="297"/>
      <c r="F10" s="78">
        <f t="shared" si="3"/>
        <v>7.7004200000000003</v>
      </c>
      <c r="G10" s="132"/>
      <c r="H10" s="132"/>
      <c r="I10" s="68">
        <f t="shared" si="0"/>
        <v>7.7004200000000003</v>
      </c>
      <c r="J10" s="297"/>
      <c r="K10" s="301"/>
      <c r="M10" s="149">
        <f t="shared" si="4"/>
        <v>7700.42</v>
      </c>
      <c r="N10" s="174"/>
      <c r="O10" s="174"/>
      <c r="P10" s="172">
        <f t="shared" si="5"/>
        <v>7700.42</v>
      </c>
    </row>
    <row r="11" spans="1:16" ht="25.5" x14ac:dyDescent="0.25">
      <c r="A11" s="296"/>
      <c r="B11" s="298"/>
      <c r="C11" s="299"/>
      <c r="D11" s="59" t="s">
        <v>192</v>
      </c>
      <c r="E11" s="297"/>
      <c r="F11" s="78">
        <f t="shared" si="3"/>
        <v>1.100468</v>
      </c>
      <c r="G11" s="78">
        <f t="shared" si="2"/>
        <v>0</v>
      </c>
      <c r="H11" s="78">
        <f t="shared" si="2"/>
        <v>0</v>
      </c>
      <c r="I11" s="68">
        <f t="shared" si="0"/>
        <v>1.100468</v>
      </c>
      <c r="J11" s="297"/>
      <c r="K11" s="301"/>
      <c r="M11" s="149">
        <f t="shared" si="4"/>
        <v>1100.4680000000001</v>
      </c>
      <c r="N11" s="174"/>
      <c r="O11" s="174">
        <v>0</v>
      </c>
      <c r="P11" s="172">
        <f t="shared" si="5"/>
        <v>1100.4680000000001</v>
      </c>
    </row>
    <row r="12" spans="1:16" x14ac:dyDescent="0.25">
      <c r="A12" s="296"/>
      <c r="B12" s="298"/>
      <c r="C12" s="299"/>
      <c r="D12" s="59" t="s">
        <v>202</v>
      </c>
      <c r="E12" s="297"/>
      <c r="F12" s="78">
        <f t="shared" si="3"/>
        <v>8.3713719999999991</v>
      </c>
      <c r="G12" s="78">
        <f t="shared" si="2"/>
        <v>0</v>
      </c>
      <c r="H12" s="78">
        <f t="shared" si="2"/>
        <v>0</v>
      </c>
      <c r="I12" s="68">
        <f t="shared" si="0"/>
        <v>8.3713719999999991</v>
      </c>
      <c r="J12" s="297"/>
      <c r="K12" s="301"/>
      <c r="M12" s="149">
        <f t="shared" si="4"/>
        <v>8371.3719999999994</v>
      </c>
      <c r="N12" s="174"/>
      <c r="O12" s="174">
        <v>0</v>
      </c>
      <c r="P12" s="172">
        <f t="shared" si="5"/>
        <v>8371.3719999999994</v>
      </c>
    </row>
    <row r="13" spans="1:16" ht="15.75" customHeight="1" x14ac:dyDescent="0.25">
      <c r="A13" s="296"/>
      <c r="B13" s="298">
        <v>2</v>
      </c>
      <c r="C13" s="299" t="str">
        <f>'пр к ПП1'!B17</f>
        <v>Расходы на капитальный ремонт и ремонт автомобильных дорог общего пользования местного значения за счет средств дорожного фонда Красноярского края</v>
      </c>
      <c r="D13" s="65" t="s">
        <v>196</v>
      </c>
      <c r="E13" s="297" t="s">
        <v>189</v>
      </c>
      <c r="F13" s="78">
        <f>SUM(F14:F21)</f>
        <v>15.144499000000001</v>
      </c>
      <c r="G13" s="78">
        <f t="shared" ref="G13:H13" si="6">SUM(G14:G21)</f>
        <v>5</v>
      </c>
      <c r="H13" s="78">
        <f t="shared" si="6"/>
        <v>0</v>
      </c>
      <c r="I13" s="68">
        <f t="shared" si="0"/>
        <v>20.144499000000003</v>
      </c>
      <c r="J13" s="297" t="s">
        <v>197</v>
      </c>
      <c r="K13" s="301"/>
      <c r="M13" s="176">
        <f>SUM(M14:M21)</f>
        <v>15144.499</v>
      </c>
      <c r="N13" s="172">
        <f>SUM(N14:N21)</f>
        <v>5000</v>
      </c>
      <c r="O13" s="172">
        <f>SUM(O14:O21)</f>
        <v>0</v>
      </c>
      <c r="P13" s="172">
        <f t="shared" si="5"/>
        <v>20144.499</v>
      </c>
    </row>
    <row r="14" spans="1:16" ht="25.5" x14ac:dyDescent="0.25">
      <c r="A14" s="296"/>
      <c r="B14" s="298"/>
      <c r="C14" s="299"/>
      <c r="D14" s="59" t="s">
        <v>194</v>
      </c>
      <c r="E14" s="297"/>
      <c r="F14" s="78">
        <f t="shared" ref="F14:G21" si="7">M14/1000</f>
        <v>1.7476879999999999</v>
      </c>
      <c r="G14" s="78">
        <f t="shared" ref="G14:G21" si="8">N14/1000</f>
        <v>0</v>
      </c>
      <c r="H14" s="78">
        <f t="shared" ref="H14:H21" si="9">O14/1000</f>
        <v>0</v>
      </c>
      <c r="I14" s="68">
        <f t="shared" si="0"/>
        <v>1.7476879999999999</v>
      </c>
      <c r="J14" s="297"/>
      <c r="K14" s="301"/>
      <c r="M14" s="149">
        <f>E34</f>
        <v>1747.6879999999999</v>
      </c>
      <c r="N14" s="174">
        <v>0</v>
      </c>
      <c r="O14" s="174">
        <v>0</v>
      </c>
      <c r="P14" s="172">
        <f t="shared" si="5"/>
        <v>1747.6879999999999</v>
      </c>
    </row>
    <row r="15" spans="1:16" ht="25.5" x14ac:dyDescent="0.25">
      <c r="A15" s="296"/>
      <c r="B15" s="298"/>
      <c r="C15" s="299"/>
      <c r="D15" s="59" t="s">
        <v>203</v>
      </c>
      <c r="E15" s="297"/>
      <c r="F15" s="78">
        <f t="shared" si="7"/>
        <v>0.87384400000000007</v>
      </c>
      <c r="G15" s="78">
        <f t="shared" si="8"/>
        <v>0</v>
      </c>
      <c r="H15" s="78">
        <f t="shared" si="9"/>
        <v>0</v>
      </c>
      <c r="I15" s="68">
        <f t="shared" si="0"/>
        <v>0.87384400000000007</v>
      </c>
      <c r="J15" s="297"/>
      <c r="K15" s="301"/>
      <c r="M15" s="149">
        <f>E35</f>
        <v>873.84400000000005</v>
      </c>
      <c r="N15" s="174">
        <v>0</v>
      </c>
      <c r="O15" s="174">
        <v>0</v>
      </c>
      <c r="P15" s="172">
        <f t="shared" si="5"/>
        <v>873.84400000000005</v>
      </c>
    </row>
    <row r="16" spans="1:16" ht="25.5" x14ac:dyDescent="0.25">
      <c r="A16" s="296"/>
      <c r="B16" s="298"/>
      <c r="C16" s="299"/>
      <c r="D16" s="59" t="s">
        <v>195</v>
      </c>
      <c r="E16" s="297"/>
      <c r="F16" s="78">
        <f t="shared" si="7"/>
        <v>0.87384400000000007</v>
      </c>
      <c r="G16" s="78">
        <f t="shared" si="8"/>
        <v>0</v>
      </c>
      <c r="H16" s="78">
        <f t="shared" si="9"/>
        <v>0</v>
      </c>
      <c r="I16" s="68">
        <f t="shared" si="0"/>
        <v>0.87384400000000007</v>
      </c>
      <c r="J16" s="297"/>
      <c r="K16" s="301"/>
      <c r="M16" s="149">
        <f>E36</f>
        <v>873.84400000000005</v>
      </c>
      <c r="N16" s="174">
        <v>0</v>
      </c>
      <c r="O16" s="174">
        <v>0</v>
      </c>
      <c r="P16" s="172">
        <f t="shared" si="5"/>
        <v>873.84400000000005</v>
      </c>
    </row>
    <row r="17" spans="1:18" ht="25.5" x14ac:dyDescent="0.25">
      <c r="A17" s="296"/>
      <c r="B17" s="298"/>
      <c r="C17" s="299"/>
      <c r="D17" s="59" t="s">
        <v>204</v>
      </c>
      <c r="E17" s="297"/>
      <c r="F17" s="78">
        <f t="shared" si="7"/>
        <v>2.0236390000000002</v>
      </c>
      <c r="G17" s="78">
        <f t="shared" si="8"/>
        <v>0</v>
      </c>
      <c r="H17" s="78">
        <f t="shared" si="9"/>
        <v>0</v>
      </c>
      <c r="I17" s="68">
        <f t="shared" si="0"/>
        <v>2.0236390000000002</v>
      </c>
      <c r="J17" s="297"/>
      <c r="K17" s="301"/>
      <c r="M17" s="149">
        <f>E37</f>
        <v>2023.6390000000001</v>
      </c>
      <c r="N17" s="174">
        <v>0</v>
      </c>
      <c r="O17" s="174">
        <v>0</v>
      </c>
      <c r="P17" s="172">
        <f t="shared" si="5"/>
        <v>2023.6390000000001</v>
      </c>
    </row>
    <row r="18" spans="1:18" ht="25.5" customHeight="1" x14ac:dyDescent="0.25">
      <c r="A18" s="296"/>
      <c r="B18" s="298"/>
      <c r="C18" s="299"/>
      <c r="D18" s="300" t="s">
        <v>193</v>
      </c>
      <c r="E18" s="297"/>
      <c r="F18" s="78">
        <f t="shared" si="7"/>
        <v>6.0293370000000008</v>
      </c>
      <c r="G18" s="78">
        <f t="shared" si="7"/>
        <v>0</v>
      </c>
      <c r="H18" s="78">
        <f t="shared" si="9"/>
        <v>0</v>
      </c>
      <c r="I18" s="68">
        <f t="shared" si="0"/>
        <v>6.0293370000000008</v>
      </c>
      <c r="J18" s="297"/>
      <c r="K18" s="301"/>
      <c r="M18" s="149">
        <f>E38</f>
        <v>6029.3370000000004</v>
      </c>
      <c r="N18" s="174">
        <v>0</v>
      </c>
      <c r="O18" s="174">
        <v>0</v>
      </c>
      <c r="P18" s="172">
        <f t="shared" si="5"/>
        <v>6029.3370000000004</v>
      </c>
    </row>
    <row r="19" spans="1:18" ht="25.5" customHeight="1" x14ac:dyDescent="0.25">
      <c r="A19" s="296"/>
      <c r="B19" s="298"/>
      <c r="C19" s="299"/>
      <c r="D19" s="300"/>
      <c r="E19" s="297"/>
      <c r="F19" s="78">
        <f t="shared" ref="F19" si="10">M19/1000</f>
        <v>0</v>
      </c>
      <c r="G19" s="78">
        <f t="shared" ref="G19" si="11">N19/1000</f>
        <v>5</v>
      </c>
      <c r="H19" s="78"/>
      <c r="I19" s="68">
        <f t="shared" si="0"/>
        <v>5</v>
      </c>
      <c r="J19" s="179" t="s">
        <v>190</v>
      </c>
      <c r="K19" s="301"/>
      <c r="M19" s="149"/>
      <c r="N19" s="174">
        <v>5000</v>
      </c>
      <c r="O19" s="174"/>
      <c r="P19" s="172"/>
    </row>
    <row r="20" spans="1:18" ht="25.5" x14ac:dyDescent="0.25">
      <c r="A20" s="296"/>
      <c r="B20" s="298"/>
      <c r="C20" s="299"/>
      <c r="D20" s="59" t="s">
        <v>192</v>
      </c>
      <c r="E20" s="297"/>
      <c r="F20" s="78">
        <f t="shared" si="7"/>
        <v>0</v>
      </c>
      <c r="G20" s="78">
        <f t="shared" si="8"/>
        <v>0</v>
      </c>
      <c r="H20" s="78">
        <f t="shared" si="9"/>
        <v>0</v>
      </c>
      <c r="I20" s="68">
        <f t="shared" si="0"/>
        <v>0</v>
      </c>
      <c r="J20" s="297" t="s">
        <v>197</v>
      </c>
      <c r="K20" s="301"/>
      <c r="M20" s="149">
        <f t="shared" ref="M20:M21" si="12">E39</f>
        <v>0</v>
      </c>
      <c r="N20" s="174"/>
      <c r="O20" s="174">
        <v>0</v>
      </c>
      <c r="P20" s="172">
        <f t="shared" si="5"/>
        <v>0</v>
      </c>
    </row>
    <row r="21" spans="1:18" ht="25.5" customHeight="1" x14ac:dyDescent="0.25">
      <c r="A21" s="296"/>
      <c r="B21" s="298"/>
      <c r="C21" s="299"/>
      <c r="D21" s="59" t="s">
        <v>202</v>
      </c>
      <c r="E21" s="297"/>
      <c r="F21" s="78">
        <f t="shared" si="7"/>
        <v>3.5961469999999998</v>
      </c>
      <c r="G21" s="78">
        <f t="shared" si="8"/>
        <v>0</v>
      </c>
      <c r="H21" s="78">
        <f t="shared" si="9"/>
        <v>0</v>
      </c>
      <c r="I21" s="68">
        <f t="shared" si="0"/>
        <v>3.5961469999999998</v>
      </c>
      <c r="J21" s="297"/>
      <c r="K21" s="301"/>
      <c r="M21" s="149">
        <f t="shared" si="12"/>
        <v>3596.1469999999999</v>
      </c>
      <c r="N21" s="174">
        <v>0</v>
      </c>
      <c r="O21" s="174">
        <v>0</v>
      </c>
      <c r="P21" s="172">
        <f t="shared" si="5"/>
        <v>3596.1469999999999</v>
      </c>
    </row>
    <row r="22" spans="1:18" ht="93" customHeight="1" x14ac:dyDescent="0.25">
      <c r="A22" s="296"/>
      <c r="B22" s="180">
        <v>3</v>
      </c>
      <c r="C22" s="104" t="s">
        <v>108</v>
      </c>
      <c r="D22" s="65" t="s">
        <v>198</v>
      </c>
      <c r="E22" s="95" t="s">
        <v>189</v>
      </c>
      <c r="F22" s="69">
        <f>('пр к ПП1'!H20+'пр к ПП1'!H19)/1000</f>
        <v>4.3671549999999995</v>
      </c>
      <c r="G22" s="69">
        <f>('пр к ПП1'!I20+'пр к ПП1'!I19)/1000</f>
        <v>5.65083</v>
      </c>
      <c r="H22" s="69">
        <f>('пр к ПП1'!J20+'пр к ПП1'!J19)/1000</f>
        <v>5.65083</v>
      </c>
      <c r="I22" s="68">
        <f>SUM(F22:H22)</f>
        <v>15.668814999999999</v>
      </c>
      <c r="J22" s="179" t="s">
        <v>190</v>
      </c>
      <c r="K22" s="301"/>
    </row>
    <row r="23" spans="1:18" ht="109.5" customHeight="1" x14ac:dyDescent="0.25">
      <c r="A23" s="296"/>
      <c r="B23" s="180">
        <v>4</v>
      </c>
      <c r="C23" s="104" t="s">
        <v>109</v>
      </c>
      <c r="D23" s="65" t="s">
        <v>199</v>
      </c>
      <c r="E23" s="95" t="s">
        <v>200</v>
      </c>
      <c r="F23" s="68">
        <f>'пр к ПП1'!H22/1000</f>
        <v>2.2387550000000003</v>
      </c>
      <c r="G23" s="68">
        <f>'пр к ПП1'!I22/1000</f>
        <v>2.2387550000000003</v>
      </c>
      <c r="H23" s="68">
        <f>'пр к ПП1'!J22/1000</f>
        <v>2.2387550000000003</v>
      </c>
      <c r="I23" s="68">
        <f>'пр к ПП1'!K22/1000</f>
        <v>6.7162649999999999</v>
      </c>
      <c r="J23" s="179" t="s">
        <v>190</v>
      </c>
      <c r="K23" s="301"/>
    </row>
    <row r="24" spans="1:18" ht="109.5" customHeight="1" x14ac:dyDescent="0.25">
      <c r="A24" s="296"/>
      <c r="B24" s="180"/>
      <c r="C24" s="104" t="s">
        <v>255</v>
      </c>
      <c r="D24" s="65" t="s">
        <v>198</v>
      </c>
      <c r="E24" s="95" t="s">
        <v>189</v>
      </c>
      <c r="F24" s="172">
        <f>'пр к ПП1'!H25/1000</f>
        <v>0.29699900000000001</v>
      </c>
      <c r="G24" s="172">
        <f>'пр к ПП1'!I25/1000</f>
        <v>0</v>
      </c>
      <c r="H24" s="172">
        <f>'пр к ПП1'!J25/1000</f>
        <v>0</v>
      </c>
      <c r="I24" s="172">
        <f>'пр к ПП1'!K25/1000</f>
        <v>0.29699900000000001</v>
      </c>
      <c r="J24" s="179" t="s">
        <v>190</v>
      </c>
      <c r="K24" s="181"/>
    </row>
    <row r="25" spans="1:18" x14ac:dyDescent="0.25">
      <c r="A25" s="296"/>
      <c r="B25" s="66"/>
      <c r="C25" s="110" t="s">
        <v>228</v>
      </c>
      <c r="D25" s="66" t="s">
        <v>30</v>
      </c>
      <c r="E25" s="66" t="s">
        <v>30</v>
      </c>
      <c r="F25" s="70">
        <f>F5+F13+F22+F23+F24</f>
        <v>47.427807999999999</v>
      </c>
      <c r="G25" s="70">
        <f t="shared" ref="G25:I25" si="13">G5+G13+G22+G23+G24</f>
        <v>12.889585</v>
      </c>
      <c r="H25" s="70">
        <f t="shared" si="13"/>
        <v>7.8895850000000003</v>
      </c>
      <c r="I25" s="70">
        <f t="shared" si="13"/>
        <v>68.206977999999992</v>
      </c>
      <c r="J25" s="66" t="s">
        <v>30</v>
      </c>
      <c r="K25" s="96"/>
    </row>
    <row r="27" spans="1:18" s="72" customFormat="1" x14ac:dyDescent="0.25">
      <c r="B27" s="71"/>
      <c r="F27" s="73">
        <f>SUM(F6:F12,F14:F21)</f>
        <v>40.524899000000005</v>
      </c>
      <c r="G27" s="73">
        <f>SUM(G6:G12,G14:G21)</f>
        <v>5</v>
      </c>
      <c r="H27" s="73">
        <f>SUM(H6:H12,H14:H21)</f>
        <v>0</v>
      </c>
      <c r="I27" s="73">
        <f>SUM(I6:I12,I14:I21)</f>
        <v>45.524899000000005</v>
      </c>
      <c r="L27"/>
      <c r="M27"/>
      <c r="N27"/>
      <c r="O27"/>
      <c r="P27"/>
      <c r="Q27"/>
      <c r="R27"/>
    </row>
    <row r="28" spans="1:18" s="72" customFormat="1" x14ac:dyDescent="0.25">
      <c r="B28" s="71"/>
      <c r="F28" s="74" t="e">
        <f>('пр к ПП1'!H17+'пр к ПП1'!H15)/1000</f>
        <v>#VALUE!</v>
      </c>
      <c r="G28" s="74">
        <f>('пр к ПП1'!I17+'пр к ПП1'!I15)/1000</f>
        <v>5</v>
      </c>
      <c r="H28" s="74">
        <f>('пр к ПП1'!J17+'пр к ПП1'!J15)/1000</f>
        <v>0</v>
      </c>
      <c r="I28" s="74">
        <f>('пр к ПП1'!K17+'пр к ПП1'!K15)/1000</f>
        <v>30.380400000000002</v>
      </c>
      <c r="L28"/>
      <c r="M28"/>
      <c r="N28"/>
      <c r="O28"/>
      <c r="P28"/>
      <c r="Q28"/>
      <c r="R28"/>
    </row>
    <row r="29" spans="1:18" s="72" customFormat="1" x14ac:dyDescent="0.25">
      <c r="B29" s="71"/>
      <c r="F29" s="74" t="e">
        <f>F27=F28</f>
        <v>#VALUE!</v>
      </c>
      <c r="G29" s="74" t="b">
        <f t="shared" ref="G29:I29" si="14">G27=G28</f>
        <v>1</v>
      </c>
      <c r="H29" s="74" t="b">
        <f t="shared" si="14"/>
        <v>1</v>
      </c>
      <c r="I29" s="74" t="b">
        <f t="shared" si="14"/>
        <v>0</v>
      </c>
      <c r="L29"/>
      <c r="M29"/>
      <c r="N29"/>
      <c r="O29"/>
      <c r="P29"/>
      <c r="Q29"/>
      <c r="R29"/>
    </row>
    <row r="33" spans="4:6" x14ac:dyDescent="0.25">
      <c r="E33" t="s">
        <v>253</v>
      </c>
      <c r="F33" t="s">
        <v>254</v>
      </c>
    </row>
    <row r="34" spans="4:6" ht="25.5" x14ac:dyDescent="0.25">
      <c r="D34" s="59" t="s">
        <v>194</v>
      </c>
      <c r="E34" s="173">
        <f>1747.684+0.004</f>
        <v>1747.6879999999999</v>
      </c>
      <c r="F34" s="173">
        <v>3807.9</v>
      </c>
    </row>
    <row r="35" spans="4:6" ht="25.5" x14ac:dyDescent="0.25">
      <c r="D35" s="59" t="s">
        <v>203</v>
      </c>
      <c r="E35" s="173">
        <v>873.84400000000005</v>
      </c>
      <c r="F35" s="173">
        <v>846.2</v>
      </c>
    </row>
    <row r="36" spans="4:6" ht="25.5" x14ac:dyDescent="0.25">
      <c r="D36" s="59" t="s">
        <v>195</v>
      </c>
      <c r="E36" s="173">
        <v>873.84400000000005</v>
      </c>
      <c r="F36" s="173">
        <v>2707.84</v>
      </c>
    </row>
    <row r="37" spans="4:6" ht="25.5" x14ac:dyDescent="0.25">
      <c r="D37" s="59" t="s">
        <v>204</v>
      </c>
      <c r="E37" s="173">
        <f>873.844+1149.795</f>
        <v>2023.6390000000001</v>
      </c>
      <c r="F37" s="173">
        <v>846.2</v>
      </c>
    </row>
    <row r="38" spans="4:6" ht="25.5" x14ac:dyDescent="0.25">
      <c r="D38" s="168" t="s">
        <v>193</v>
      </c>
      <c r="E38" s="173">
        <v>6029.3370000000004</v>
      </c>
      <c r="F38" s="173">
        <v>7700.42</v>
      </c>
    </row>
    <row r="39" spans="4:6" ht="25.5" x14ac:dyDescent="0.25">
      <c r="D39" s="59" t="s">
        <v>192</v>
      </c>
      <c r="E39" s="173"/>
      <c r="F39" s="173">
        <v>1100.4680000000001</v>
      </c>
    </row>
    <row r="40" spans="4:6" x14ac:dyDescent="0.25">
      <c r="D40" s="59" t="s">
        <v>202</v>
      </c>
      <c r="E40" s="173">
        <v>3596.1469999999999</v>
      </c>
      <c r="F40" s="173">
        <v>8371.3719999999994</v>
      </c>
    </row>
  </sheetData>
  <mergeCells count="25"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3"/>
    <mergeCell ref="J5:J12"/>
    <mergeCell ref="J13:J18"/>
    <mergeCell ref="J20:J21"/>
    <mergeCell ref="A1:A25"/>
    <mergeCell ref="B1:B4"/>
    <mergeCell ref="C1:C4"/>
    <mergeCell ref="D1:D4"/>
    <mergeCell ref="E1:E4"/>
    <mergeCell ref="B5:B12"/>
    <mergeCell ref="C5:C12"/>
    <mergeCell ref="E5:E12"/>
    <mergeCell ref="B13:B21"/>
    <mergeCell ref="C13:C21"/>
    <mergeCell ref="E13:E21"/>
    <mergeCell ref="D18:D1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6"/>
  <sheetViews>
    <sheetView zoomScale="85" zoomScaleNormal="85" workbookViewId="0">
      <selection activeCell="H9" sqref="H9"/>
    </sheetView>
  </sheetViews>
  <sheetFormatPr defaultRowHeight="15.75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7" width="8.125" customWidth="1"/>
    <col min="8" max="8" width="7.875" customWidth="1"/>
  </cols>
  <sheetData>
    <row r="1" spans="1:9" x14ac:dyDescent="0.25">
      <c r="A1" s="297" t="s">
        <v>19</v>
      </c>
      <c r="B1" s="297" t="s">
        <v>180</v>
      </c>
      <c r="C1" s="297" t="s">
        <v>181</v>
      </c>
      <c r="D1" s="297" t="s">
        <v>182</v>
      </c>
      <c r="E1" s="297" t="s">
        <v>183</v>
      </c>
      <c r="F1" s="297"/>
      <c r="G1" s="297"/>
      <c r="H1" s="297"/>
      <c r="I1" s="297"/>
    </row>
    <row r="2" spans="1:9" x14ac:dyDescent="0.25">
      <c r="A2" s="297"/>
      <c r="B2" s="297"/>
      <c r="C2" s="297"/>
      <c r="D2" s="297"/>
      <c r="E2" s="297" t="s">
        <v>184</v>
      </c>
      <c r="F2" s="297"/>
      <c r="G2" s="297"/>
      <c r="H2" s="297"/>
      <c r="I2" s="297" t="s">
        <v>185</v>
      </c>
    </row>
    <row r="3" spans="1:9" x14ac:dyDescent="0.25">
      <c r="A3" s="297"/>
      <c r="B3" s="297"/>
      <c r="C3" s="297"/>
      <c r="D3" s="297"/>
      <c r="E3" s="297" t="s">
        <v>186</v>
      </c>
      <c r="F3" s="297"/>
      <c r="G3" s="297"/>
      <c r="H3" s="297" t="s">
        <v>187</v>
      </c>
      <c r="I3" s="297"/>
    </row>
    <row r="4" spans="1:9" x14ac:dyDescent="0.25">
      <c r="A4" s="297"/>
      <c r="B4" s="297"/>
      <c r="C4" s="297"/>
      <c r="D4" s="297"/>
      <c r="E4" s="152">
        <v>2018</v>
      </c>
      <c r="F4" s="152">
        <v>2019</v>
      </c>
      <c r="G4" s="152">
        <v>2020</v>
      </c>
      <c r="H4" s="297"/>
      <c r="I4" s="297"/>
    </row>
    <row r="5" spans="1:9" ht="92.25" customHeight="1" x14ac:dyDescent="0.25">
      <c r="A5" s="58">
        <v>1</v>
      </c>
      <c r="B5" s="59" t="s">
        <v>106</v>
      </c>
      <c r="C5" s="302" t="s">
        <v>188</v>
      </c>
      <c r="D5" s="302" t="s">
        <v>189</v>
      </c>
      <c r="E5" s="162">
        <f>'пр к ПП2'!H15/1000</f>
        <v>88.484053000000003</v>
      </c>
      <c r="F5" s="162">
        <f>'пр к ПП2'!I15/1000</f>
        <v>90.534809999999993</v>
      </c>
      <c r="G5" s="162">
        <f>'пр к ПП2'!J15/1000</f>
        <v>90.534809999999993</v>
      </c>
      <c r="H5" s="162">
        <f t="shared" ref="H5:H12" si="0">SUM(E5:G5)</f>
        <v>269.553673</v>
      </c>
      <c r="I5" s="58" t="s">
        <v>190</v>
      </c>
    </row>
    <row r="6" spans="1:9" ht="92.25" customHeight="1" x14ac:dyDescent="0.25">
      <c r="A6" s="179" t="s">
        <v>3</v>
      </c>
      <c r="B6" s="59" t="s">
        <v>262</v>
      </c>
      <c r="C6" s="303"/>
      <c r="D6" s="303"/>
      <c r="E6" s="162">
        <f>E5-E7</f>
        <v>76.795979740000007</v>
      </c>
      <c r="F6" s="162">
        <f t="shared" ref="F6:G6" si="1">F5-F7</f>
        <v>90.534809999999993</v>
      </c>
      <c r="G6" s="162">
        <f t="shared" si="1"/>
        <v>90.534809999999993</v>
      </c>
      <c r="H6" s="162">
        <f t="shared" si="0"/>
        <v>257.86559973999999</v>
      </c>
      <c r="I6" s="179" t="s">
        <v>190</v>
      </c>
    </row>
    <row r="7" spans="1:9" ht="92.25" customHeight="1" x14ac:dyDescent="0.25">
      <c r="A7" s="179" t="s">
        <v>85</v>
      </c>
      <c r="B7" s="59" t="s">
        <v>263</v>
      </c>
      <c r="C7" s="304"/>
      <c r="D7" s="304"/>
      <c r="E7" s="162">
        <f>(1688073.36+9999999.9)/1000000</f>
        <v>11.688073259999999</v>
      </c>
      <c r="F7" s="162"/>
      <c r="G7" s="162"/>
      <c r="H7" s="162">
        <f t="shared" si="0"/>
        <v>11.688073259999999</v>
      </c>
      <c r="I7" s="179" t="s">
        <v>190</v>
      </c>
    </row>
    <row r="8" spans="1:9" ht="87" customHeight="1" x14ac:dyDescent="0.25">
      <c r="A8" s="297">
        <v>2</v>
      </c>
      <c r="B8" s="300" t="s">
        <v>107</v>
      </c>
      <c r="C8" s="60" t="s">
        <v>191</v>
      </c>
      <c r="D8" s="297" t="s">
        <v>189</v>
      </c>
      <c r="E8" s="162">
        <v>21.48</v>
      </c>
      <c r="F8" s="162">
        <v>21.48</v>
      </c>
      <c r="G8" s="162">
        <v>21.48</v>
      </c>
      <c r="H8" s="162">
        <f t="shared" si="0"/>
        <v>64.44</v>
      </c>
      <c r="I8" s="302" t="s">
        <v>190</v>
      </c>
    </row>
    <row r="9" spans="1:9" x14ac:dyDescent="0.25">
      <c r="A9" s="297"/>
      <c r="B9" s="300"/>
      <c r="C9" s="61" t="s">
        <v>192</v>
      </c>
      <c r="D9" s="297"/>
      <c r="E9" s="163"/>
      <c r="F9" s="163">
        <v>0.53</v>
      </c>
      <c r="G9" s="163">
        <f>F9</f>
        <v>0.53</v>
      </c>
      <c r="H9" s="163">
        <f>SUM(E9:G9)</f>
        <v>1.06</v>
      </c>
      <c r="I9" s="303"/>
    </row>
    <row r="10" spans="1:9" x14ac:dyDescent="0.25">
      <c r="A10" s="297"/>
      <c r="B10" s="300"/>
      <c r="C10" s="61" t="s">
        <v>193</v>
      </c>
      <c r="D10" s="297"/>
      <c r="E10" s="163">
        <f>17650.1/1000+0.53</f>
        <v>18.180099999999999</v>
      </c>
      <c r="F10" s="163">
        <v>17.650099999999998</v>
      </c>
      <c r="G10" s="163">
        <f t="shared" ref="G10:G12" si="2">F10</f>
        <v>17.650099999999998</v>
      </c>
      <c r="H10" s="163">
        <f>SUM(E10:G10)</f>
        <v>53.4803</v>
      </c>
      <c r="I10" s="303"/>
    </row>
    <row r="11" spans="1:9" x14ac:dyDescent="0.25">
      <c r="A11" s="297"/>
      <c r="B11" s="300"/>
      <c r="C11" s="61" t="s">
        <v>194</v>
      </c>
      <c r="D11" s="297"/>
      <c r="E11" s="163">
        <f>3000/1000</f>
        <v>3</v>
      </c>
      <c r="F11" s="163">
        <v>3</v>
      </c>
      <c r="G11" s="163">
        <f t="shared" si="2"/>
        <v>3</v>
      </c>
      <c r="H11" s="163">
        <f t="shared" si="0"/>
        <v>9</v>
      </c>
      <c r="I11" s="303"/>
    </row>
    <row r="12" spans="1:9" x14ac:dyDescent="0.25">
      <c r="A12" s="297"/>
      <c r="B12" s="300"/>
      <c r="C12" s="61" t="s">
        <v>195</v>
      </c>
      <c r="D12" s="297"/>
      <c r="E12" s="163">
        <f>300/1000</f>
        <v>0.3</v>
      </c>
      <c r="F12" s="163">
        <v>0.3</v>
      </c>
      <c r="G12" s="163">
        <f t="shared" si="2"/>
        <v>0.3</v>
      </c>
      <c r="H12" s="163">
        <f t="shared" si="0"/>
        <v>0.89999999999999991</v>
      </c>
      <c r="I12" s="304"/>
    </row>
    <row r="13" spans="1:9" ht="76.5" hidden="1" x14ac:dyDescent="0.25">
      <c r="A13" s="98">
        <v>3</v>
      </c>
      <c r="B13" s="99" t="e">
        <f>'пр к ПП2'!#REF!</f>
        <v>#REF!</v>
      </c>
      <c r="C13" s="59" t="s">
        <v>188</v>
      </c>
      <c r="D13" s="98" t="s">
        <v>225</v>
      </c>
      <c r="E13" s="163" t="e">
        <f>'пр к ПП2'!#REF!/1000</f>
        <v>#REF!</v>
      </c>
      <c r="F13" s="163" t="e">
        <f>'пр к ПП2'!#REF!/1000</f>
        <v>#REF!</v>
      </c>
      <c r="G13" s="163" t="e">
        <f>'пр к ПП2'!#REF!/1000</f>
        <v>#REF!</v>
      </c>
      <c r="H13" s="163" t="e">
        <f t="shared" ref="H13:H14" si="3">SUM(E13:G13)</f>
        <v>#REF!</v>
      </c>
      <c r="I13" s="98" t="s">
        <v>190</v>
      </c>
    </row>
    <row r="14" spans="1:9" ht="65.25" customHeight="1" x14ac:dyDescent="0.25">
      <c r="A14" s="98">
        <v>3</v>
      </c>
      <c r="B14" s="99" t="str">
        <f>'пр к ПП2'!B20</f>
        <v>Создание условий для безопасности перевозок автомобильным, авиационным и речным транспортом</v>
      </c>
      <c r="C14" s="65" t="s">
        <v>198</v>
      </c>
      <c r="D14" s="98" t="s">
        <v>189</v>
      </c>
      <c r="E14" s="163">
        <f>'пр к ПП2'!H20/1000</f>
        <v>0</v>
      </c>
      <c r="F14" s="163">
        <f>'пр к ПП2'!I20/1000</f>
        <v>0</v>
      </c>
      <c r="G14" s="163">
        <f>'пр к ПП2'!J20/1000</f>
        <v>0</v>
      </c>
      <c r="H14" s="163">
        <f t="shared" si="3"/>
        <v>0</v>
      </c>
      <c r="I14" s="98" t="s">
        <v>190</v>
      </c>
    </row>
    <row r="15" spans="1:9" ht="140.25" x14ac:dyDescent="0.25">
      <c r="A15" s="216">
        <v>4</v>
      </c>
      <c r="B15" s="217" t="str">
        <f>'пр к ПП2'!B22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65" t="s">
        <v>279</v>
      </c>
      <c r="D15" s="216" t="s">
        <v>189</v>
      </c>
      <c r="E15" s="163">
        <f>'пр к ПП2'!H22/1000</f>
        <v>1.1191139999999999</v>
      </c>
      <c r="F15" s="163">
        <f>'пр к ПП2'!I22/1000</f>
        <v>0</v>
      </c>
      <c r="G15" s="163">
        <f>'пр к ПП2'!J22/1000</f>
        <v>0</v>
      </c>
      <c r="H15" s="163">
        <f>'пр к ПП2'!K22/1000</f>
        <v>1.1191139999999999</v>
      </c>
      <c r="I15" s="216" t="s">
        <v>190</v>
      </c>
    </row>
    <row r="16" spans="1:9" s="64" customFormat="1" x14ac:dyDescent="0.25">
      <c r="A16" s="62"/>
      <c r="B16" s="110" t="s">
        <v>228</v>
      </c>
      <c r="C16" s="63" t="s">
        <v>30</v>
      </c>
      <c r="D16" s="63" t="s">
        <v>30</v>
      </c>
      <c r="E16" s="164">
        <f>E5+E8+E15</f>
        <v>111.083167</v>
      </c>
      <c r="F16" s="164">
        <f t="shared" ref="F16:H16" si="4">F5+F8+F15</f>
        <v>112.01481</v>
      </c>
      <c r="G16" s="164">
        <f t="shared" si="4"/>
        <v>112.01481</v>
      </c>
      <c r="H16" s="164">
        <f t="shared" si="4"/>
        <v>335.11278700000003</v>
      </c>
      <c r="I16" s="63" t="s">
        <v>30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5" workbookViewId="0">
      <selection activeCell="T26" sqref="T26"/>
    </sheetView>
  </sheetViews>
  <sheetFormatPr defaultRowHeight="15.75" x14ac:dyDescent="0.25"/>
  <cols>
    <col min="1" max="1" width="3.5" style="105" customWidth="1"/>
    <col min="2" max="2" width="20.375" customWidth="1"/>
    <col min="3" max="3" width="28" customWidth="1"/>
    <col min="9" max="9" width="9" style="67"/>
  </cols>
  <sheetData>
    <row r="1" spans="1:9" x14ac:dyDescent="0.25">
      <c r="A1" s="306" t="s">
        <v>19</v>
      </c>
      <c r="B1" s="306" t="s">
        <v>180</v>
      </c>
      <c r="C1" s="306" t="s">
        <v>181</v>
      </c>
      <c r="D1" s="306" t="s">
        <v>182</v>
      </c>
      <c r="E1" s="306" t="s">
        <v>183</v>
      </c>
      <c r="F1" s="306"/>
      <c r="G1" s="306"/>
      <c r="H1" s="306"/>
      <c r="I1" s="306"/>
    </row>
    <row r="2" spans="1:9" x14ac:dyDescent="0.25">
      <c r="A2" s="306"/>
      <c r="B2" s="306"/>
      <c r="C2" s="306"/>
      <c r="D2" s="306"/>
      <c r="E2" s="306" t="s">
        <v>226</v>
      </c>
      <c r="F2" s="306"/>
      <c r="G2" s="306"/>
      <c r="H2" s="306"/>
      <c r="I2" s="306" t="s">
        <v>185</v>
      </c>
    </row>
    <row r="3" spans="1:9" x14ac:dyDescent="0.25">
      <c r="A3" s="306"/>
      <c r="B3" s="306"/>
      <c r="C3" s="306"/>
      <c r="D3" s="306"/>
      <c r="E3" s="306" t="s">
        <v>186</v>
      </c>
      <c r="F3" s="306"/>
      <c r="G3" s="306"/>
      <c r="H3" s="306" t="s">
        <v>187</v>
      </c>
      <c r="I3" s="306"/>
    </row>
    <row r="4" spans="1:9" x14ac:dyDescent="0.25">
      <c r="A4" s="306"/>
      <c r="B4" s="306"/>
      <c r="C4" s="306"/>
      <c r="D4" s="306"/>
      <c r="E4" s="179">
        <v>2018</v>
      </c>
      <c r="F4" s="179">
        <v>2019</v>
      </c>
      <c r="G4" s="179">
        <v>2020</v>
      </c>
      <c r="H4" s="306"/>
      <c r="I4" s="306"/>
    </row>
    <row r="5" spans="1:9" ht="72.75" customHeight="1" x14ac:dyDescent="0.25">
      <c r="A5" s="183">
        <v>1</v>
      </c>
      <c r="B5" s="133" t="str">
        <f>'пр к ПП3'!B15</f>
        <v>Проведение мероприятий, направленных на обеспечение безопасного участия детей в дорожном движении</v>
      </c>
      <c r="C5" s="305" t="s">
        <v>230</v>
      </c>
      <c r="D5" s="306" t="s">
        <v>229</v>
      </c>
      <c r="E5" s="106">
        <f>E6+E7</f>
        <v>0</v>
      </c>
      <c r="F5" s="106">
        <f t="shared" ref="F5:G5" si="0">F6+F7</f>
        <v>0</v>
      </c>
      <c r="G5" s="106">
        <f t="shared" si="0"/>
        <v>0</v>
      </c>
      <c r="H5" s="106">
        <f>SUM(E5:G5)</f>
        <v>0</v>
      </c>
      <c r="I5" s="183"/>
    </row>
    <row r="6" spans="1:9" ht="101.25" customHeight="1" x14ac:dyDescent="0.25">
      <c r="A6" s="183" t="s">
        <v>3</v>
      </c>
      <c r="B6" s="133" t="s">
        <v>246</v>
      </c>
      <c r="C6" s="305"/>
      <c r="D6" s="306"/>
      <c r="E6" s="106">
        <f>'пр к ПП3'!H15</f>
        <v>0</v>
      </c>
      <c r="F6" s="106">
        <f>'пр к ПП3'!I15</f>
        <v>0</v>
      </c>
      <c r="G6" s="106">
        <f>'пр к ПП3'!J15</f>
        <v>0</v>
      </c>
      <c r="H6" s="106">
        <f t="shared" ref="H6:H8" si="1">SUM(E6:G6)</f>
        <v>0</v>
      </c>
      <c r="I6" s="183" t="s">
        <v>197</v>
      </c>
    </row>
    <row r="7" spans="1:9" ht="93.75" customHeight="1" x14ac:dyDescent="0.25">
      <c r="A7" s="183" t="s">
        <v>85</v>
      </c>
      <c r="B7" s="133" t="s">
        <v>247</v>
      </c>
      <c r="C7" s="305"/>
      <c r="D7" s="306"/>
      <c r="E7" s="106">
        <f>'пр к ПП3'!H16</f>
        <v>0</v>
      </c>
      <c r="F7" s="106">
        <f>'пр к ПП3'!I16</f>
        <v>0</v>
      </c>
      <c r="G7" s="106">
        <f>'пр к ПП3'!J16</f>
        <v>0</v>
      </c>
      <c r="H7" s="106">
        <f t="shared" si="1"/>
        <v>0</v>
      </c>
      <c r="I7" s="183" t="s">
        <v>190</v>
      </c>
    </row>
    <row r="8" spans="1:9" ht="102" x14ac:dyDescent="0.25">
      <c r="A8" s="183">
        <v>2</v>
      </c>
      <c r="B8" s="159" t="str">
        <f>'пр к ПП3'!B18</f>
        <v>Расходы бюджетов муниципальных образований на реализацию мероприятий, направленных на повышение безопасности дорожного движения</v>
      </c>
      <c r="C8" s="133" t="s">
        <v>248</v>
      </c>
      <c r="D8" s="183" t="s">
        <v>227</v>
      </c>
      <c r="E8" s="108">
        <f>'пр к ПП3'!H18</f>
        <v>220.5</v>
      </c>
      <c r="F8" s="108">
        <f>'пр к ПП3'!I18</f>
        <v>0</v>
      </c>
      <c r="G8" s="108">
        <f>'пр к ПП3'!J18</f>
        <v>0</v>
      </c>
      <c r="H8" s="106">
        <f t="shared" si="1"/>
        <v>220.5</v>
      </c>
      <c r="I8" s="183" t="s">
        <v>197</v>
      </c>
    </row>
    <row r="9" spans="1:9" ht="102" x14ac:dyDescent="0.25">
      <c r="A9" s="184">
        <v>3</v>
      </c>
      <c r="B9" s="159" t="s">
        <v>268</v>
      </c>
      <c r="C9" s="185" t="s">
        <v>273</v>
      </c>
      <c r="D9" s="184" t="s">
        <v>271</v>
      </c>
      <c r="E9" s="108">
        <v>0</v>
      </c>
      <c r="F9" s="108">
        <v>0</v>
      </c>
      <c r="G9" s="108">
        <v>0</v>
      </c>
      <c r="H9" s="106">
        <v>0</v>
      </c>
      <c r="I9" s="184" t="s">
        <v>272</v>
      </c>
    </row>
    <row r="10" spans="1:9" s="64" customFormat="1" x14ac:dyDescent="0.25">
      <c r="A10" s="109"/>
      <c r="B10" s="110" t="s">
        <v>228</v>
      </c>
      <c r="C10" s="109" t="s">
        <v>30</v>
      </c>
      <c r="D10" s="109" t="s">
        <v>30</v>
      </c>
      <c r="E10" s="111">
        <f>E5+E8</f>
        <v>220.5</v>
      </c>
      <c r="F10" s="111">
        <f t="shared" ref="F10:H10" si="2">F5+F8</f>
        <v>0</v>
      </c>
      <c r="G10" s="111">
        <f t="shared" si="2"/>
        <v>0</v>
      </c>
      <c r="H10" s="111">
        <f t="shared" si="2"/>
        <v>220.5</v>
      </c>
      <c r="I10" s="109" t="s">
        <v>30</v>
      </c>
    </row>
    <row r="12" spans="1:9" x14ac:dyDescent="0.25">
      <c r="E12" s="195">
        <f>'пр к ПП3'!H22</f>
        <v>220.5</v>
      </c>
      <c r="F12" s="167">
        <f>'пр к ПП3'!I22</f>
        <v>0</v>
      </c>
      <c r="G12" s="167">
        <f>'пр к ПП3'!J22</f>
        <v>0</v>
      </c>
      <c r="H12">
        <f t="shared" ref="H12" si="3">SUM(E12:G12)</f>
        <v>220.5</v>
      </c>
    </row>
  </sheetData>
  <mergeCells count="11">
    <mergeCell ref="E1:I1"/>
    <mergeCell ref="E2:H2"/>
    <mergeCell ref="I2:I4"/>
    <mergeCell ref="E3:G3"/>
    <mergeCell ref="H3:H4"/>
    <mergeCell ref="C5:C7"/>
    <mergeCell ref="D5:D7"/>
    <mergeCell ref="A1:A4"/>
    <mergeCell ref="B1:B4"/>
    <mergeCell ref="C1:C4"/>
    <mergeCell ref="D1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zoomScale="115" zoomScaleNormal="85" zoomScaleSheetLayoutView="115" workbookViewId="0">
      <selection activeCell="C10" sqref="C10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306" t="s">
        <v>19</v>
      </c>
      <c r="B1" s="306" t="s">
        <v>180</v>
      </c>
      <c r="C1" s="306" t="s">
        <v>181</v>
      </c>
      <c r="D1" s="306" t="s">
        <v>182</v>
      </c>
      <c r="E1" s="306" t="s">
        <v>183</v>
      </c>
      <c r="F1" s="306"/>
      <c r="G1" s="306"/>
      <c r="H1" s="306"/>
      <c r="I1" s="306"/>
    </row>
    <row r="2" spans="1:9" x14ac:dyDescent="0.25">
      <c r="A2" s="306"/>
      <c r="B2" s="306"/>
      <c r="C2" s="306"/>
      <c r="D2" s="306"/>
      <c r="E2" s="306" t="s">
        <v>226</v>
      </c>
      <c r="F2" s="306"/>
      <c r="G2" s="306"/>
      <c r="H2" s="306"/>
      <c r="I2" s="306" t="s">
        <v>185</v>
      </c>
    </row>
    <row r="3" spans="1:9" x14ac:dyDescent="0.25">
      <c r="A3" s="306"/>
      <c r="B3" s="306"/>
      <c r="C3" s="306"/>
      <c r="D3" s="306"/>
      <c r="E3" s="306" t="s">
        <v>186</v>
      </c>
      <c r="F3" s="306"/>
      <c r="G3" s="306"/>
      <c r="H3" s="306" t="s">
        <v>187</v>
      </c>
      <c r="I3" s="306"/>
    </row>
    <row r="4" spans="1:9" x14ac:dyDescent="0.25">
      <c r="A4" s="306"/>
      <c r="B4" s="306"/>
      <c r="C4" s="306"/>
      <c r="D4" s="306"/>
      <c r="E4" s="179">
        <v>2018</v>
      </c>
      <c r="F4" s="179">
        <v>2019</v>
      </c>
      <c r="G4" s="179">
        <v>2020</v>
      </c>
      <c r="H4" s="306"/>
      <c r="I4" s="306"/>
    </row>
    <row r="5" spans="1:9" ht="165.75" x14ac:dyDescent="0.25">
      <c r="A5" s="183">
        <v>1</v>
      </c>
      <c r="B5" s="188" t="s">
        <v>249</v>
      </c>
      <c r="C5" s="133" t="s">
        <v>230</v>
      </c>
      <c r="D5" s="183" t="s">
        <v>189</v>
      </c>
      <c r="E5" s="107">
        <f>'пр к ПП4'!H15/1000</f>
        <v>9.9990000000000006</v>
      </c>
      <c r="F5" s="107">
        <f>'пр к ПП4'!I15/1000</f>
        <v>10.6</v>
      </c>
      <c r="G5" s="107">
        <f>'пр к ПП4'!J15/1000</f>
        <v>10.6</v>
      </c>
      <c r="H5" s="106">
        <f t="shared" ref="H5" si="0">SUM(E5:G5)</f>
        <v>31.198999999999998</v>
      </c>
      <c r="I5" s="183" t="s">
        <v>190</v>
      </c>
    </row>
    <row r="6" spans="1:9" ht="89.25" x14ac:dyDescent="0.25">
      <c r="A6" s="307">
        <v>2</v>
      </c>
      <c r="B6" s="190" t="s">
        <v>257</v>
      </c>
      <c r="C6" s="308" t="s">
        <v>198</v>
      </c>
      <c r="D6" s="297" t="s">
        <v>189</v>
      </c>
      <c r="E6" s="187">
        <f>E7+E8</f>
        <v>3.0683369999999996</v>
      </c>
      <c r="F6" s="193">
        <f t="shared" ref="F6:H6" si="1">F7+F8</f>
        <v>0</v>
      </c>
      <c r="G6" s="193">
        <f t="shared" si="1"/>
        <v>0</v>
      </c>
      <c r="H6" s="187">
        <f t="shared" si="1"/>
        <v>3.0683369999999996</v>
      </c>
      <c r="I6" s="186"/>
    </row>
    <row r="7" spans="1:9" ht="25.5" x14ac:dyDescent="0.25">
      <c r="A7" s="307"/>
      <c r="B7" s="191" t="s">
        <v>264</v>
      </c>
      <c r="C7" s="308"/>
      <c r="D7" s="297"/>
      <c r="E7" s="179">
        <f>'пр к ПП4'!H17/1000</f>
        <v>3.0621999999999998</v>
      </c>
      <c r="F7" s="193">
        <v>0</v>
      </c>
      <c r="G7" s="193">
        <v>0</v>
      </c>
      <c r="H7" s="179">
        <f>'пр к ПП4'!K17/1000</f>
        <v>3.0621999999999998</v>
      </c>
      <c r="I7" s="179" t="s">
        <v>197</v>
      </c>
    </row>
    <row r="8" spans="1:9" ht="25.5" x14ac:dyDescent="0.25">
      <c r="A8" s="307"/>
      <c r="B8" s="192"/>
      <c r="C8" s="308"/>
      <c r="D8" s="297"/>
      <c r="E8" s="187">
        <f>'пр к ПП4'!H18/1000</f>
        <v>6.1369999999999992E-3</v>
      </c>
      <c r="F8" s="193">
        <v>0</v>
      </c>
      <c r="G8" s="193">
        <v>0</v>
      </c>
      <c r="H8" s="187">
        <f>'пр к ПП4'!K18/1000</f>
        <v>6.1369999999999992E-3</v>
      </c>
      <c r="I8" s="179" t="s">
        <v>190</v>
      </c>
    </row>
    <row r="9" spans="1:9" ht="25.5" x14ac:dyDescent="0.25">
      <c r="A9" s="109"/>
      <c r="B9" s="189" t="s">
        <v>228</v>
      </c>
      <c r="C9" s="109" t="s">
        <v>30</v>
      </c>
      <c r="D9" s="109" t="s">
        <v>30</v>
      </c>
      <c r="E9" s="111">
        <f>E5+E6</f>
        <v>13.067337</v>
      </c>
      <c r="F9" s="111">
        <f t="shared" ref="F9:H9" si="2">F5+F6</f>
        <v>10.6</v>
      </c>
      <c r="G9" s="111">
        <f t="shared" si="2"/>
        <v>10.6</v>
      </c>
      <c r="H9" s="111">
        <f t="shared" si="2"/>
        <v>34.267336999999998</v>
      </c>
      <c r="I9" s="109" t="s">
        <v>30</v>
      </c>
    </row>
  </sheetData>
  <mergeCells count="12">
    <mergeCell ref="E1:I1"/>
    <mergeCell ref="E2:H2"/>
    <mergeCell ref="I2:I4"/>
    <mergeCell ref="E3:G3"/>
    <mergeCell ref="H3:H4"/>
    <mergeCell ref="A6:A8"/>
    <mergeCell ref="C6:C8"/>
    <mergeCell ref="D6:D8"/>
    <mergeCell ref="A1:A4"/>
    <mergeCell ref="B1:B4"/>
    <mergeCell ref="C1:C4"/>
    <mergeCell ref="D1:D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view="pageBreakPreview" zoomScale="85" zoomScaleNormal="70" zoomScaleSheetLayoutView="85" workbookViewId="0">
      <selection sqref="A1:XFD1048576"/>
    </sheetView>
  </sheetViews>
  <sheetFormatPr defaultRowHeight="15.75" x14ac:dyDescent="0.25"/>
  <cols>
    <col min="1" max="1" width="4.75" style="4" customWidth="1"/>
    <col min="2" max="2" width="43.5" style="1" customWidth="1"/>
    <col min="3" max="3" width="10.5" style="4" customWidth="1"/>
    <col min="4" max="4" width="14.875" style="1" customWidth="1"/>
    <col min="5" max="5" width="12.875" style="1" customWidth="1"/>
    <col min="6" max="6" width="14.375" style="1" customWidth="1"/>
    <col min="7" max="7" width="13" style="1" customWidth="1"/>
    <col min="8" max="8" width="12" style="1" customWidth="1"/>
    <col min="9" max="16384" width="9" style="1"/>
  </cols>
  <sheetData>
    <row r="1" spans="1:8" ht="81" customHeight="1" x14ac:dyDescent="0.25">
      <c r="F1" s="234"/>
      <c r="G1" s="234"/>
      <c r="H1" s="234"/>
    </row>
    <row r="4" spans="1:8" ht="130.5" customHeight="1" x14ac:dyDescent="0.25">
      <c r="F4" s="235" t="s">
        <v>205</v>
      </c>
      <c r="G4" s="235"/>
      <c r="H4" s="235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238" t="s">
        <v>1</v>
      </c>
      <c r="B7" s="238"/>
      <c r="C7" s="238"/>
      <c r="D7" s="238"/>
      <c r="E7" s="238"/>
      <c r="F7" s="238"/>
      <c r="G7" s="238"/>
      <c r="H7" s="238"/>
    </row>
    <row r="8" spans="1:8" ht="18.75" x14ac:dyDescent="0.25">
      <c r="A8" s="247" t="s">
        <v>98</v>
      </c>
      <c r="B8" s="238"/>
      <c r="C8" s="238"/>
      <c r="D8" s="238"/>
      <c r="E8" s="238"/>
      <c r="F8" s="238"/>
      <c r="G8" s="238"/>
      <c r="H8" s="238"/>
    </row>
    <row r="9" spans="1:8" ht="36" customHeight="1" x14ac:dyDescent="0.25">
      <c r="A9" s="247" t="s">
        <v>97</v>
      </c>
      <c r="B9" s="238"/>
      <c r="C9" s="238"/>
      <c r="D9" s="238"/>
      <c r="E9" s="238"/>
      <c r="F9" s="238"/>
      <c r="G9" s="238"/>
      <c r="H9" s="238"/>
    </row>
    <row r="10" spans="1:8" ht="13.5" customHeight="1" x14ac:dyDescent="0.25">
      <c r="A10" s="10"/>
    </row>
    <row r="11" spans="1:8" x14ac:dyDescent="0.25">
      <c r="A11" s="239" t="s">
        <v>19</v>
      </c>
      <c r="B11" s="239" t="s">
        <v>46</v>
      </c>
      <c r="C11" s="239" t="s">
        <v>2</v>
      </c>
      <c r="D11" s="239" t="s">
        <v>47</v>
      </c>
      <c r="E11" s="239" t="s">
        <v>48</v>
      </c>
      <c r="F11" s="239"/>
      <c r="G11" s="239"/>
      <c r="H11" s="239"/>
    </row>
    <row r="12" spans="1:8" x14ac:dyDescent="0.25">
      <c r="A12" s="239"/>
      <c r="B12" s="239"/>
      <c r="C12" s="239"/>
      <c r="D12" s="239"/>
      <c r="E12" s="150" t="s">
        <v>53</v>
      </c>
      <c r="F12" s="150" t="s">
        <v>54</v>
      </c>
      <c r="G12" s="150" t="s">
        <v>55</v>
      </c>
      <c r="H12" s="150" t="s">
        <v>58</v>
      </c>
    </row>
    <row r="13" spans="1:8" x14ac:dyDescent="0.25">
      <c r="A13" s="91">
        <v>1</v>
      </c>
      <c r="B13" s="91">
        <v>2</v>
      </c>
      <c r="C13" s="91">
        <v>3</v>
      </c>
      <c r="D13" s="91">
        <v>4</v>
      </c>
      <c r="E13" s="91">
        <v>5</v>
      </c>
      <c r="F13" s="91">
        <v>6</v>
      </c>
      <c r="G13" s="91">
        <v>7</v>
      </c>
      <c r="H13" s="91">
        <v>8</v>
      </c>
    </row>
    <row r="14" spans="1:8" ht="50.25" customHeight="1" x14ac:dyDescent="0.25">
      <c r="A14" s="246" t="str">
        <f>'пр к ПП1'!A13:L13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246"/>
      <c r="C14" s="246"/>
      <c r="D14" s="246"/>
      <c r="E14" s="246"/>
      <c r="F14" s="246"/>
      <c r="G14" s="246"/>
      <c r="H14" s="246"/>
    </row>
    <row r="15" spans="1:8" ht="33" customHeight="1" x14ac:dyDescent="0.25">
      <c r="A15" s="246" t="str">
        <f>'пр к ПП1'!A14:L14</f>
        <v>Задача 1. Улучшение технического состояния существующей улично-дорожной сети и автомобильных дорог местного значения.</v>
      </c>
      <c r="B15" s="246"/>
      <c r="C15" s="246"/>
      <c r="D15" s="246"/>
      <c r="E15" s="246"/>
      <c r="F15" s="246"/>
      <c r="G15" s="246"/>
      <c r="H15" s="246"/>
    </row>
    <row r="16" spans="1:8" ht="47.25" x14ac:dyDescent="0.25">
      <c r="A16" s="94" t="s">
        <v>3</v>
      </c>
      <c r="B16" s="93" t="s">
        <v>70</v>
      </c>
      <c r="C16" s="94" t="s">
        <v>71</v>
      </c>
      <c r="D16" s="94" t="s">
        <v>72</v>
      </c>
      <c r="E16" s="25">
        <v>3.7709999999999999</v>
      </c>
      <c r="F16" s="202">
        <v>2.6789999999999998</v>
      </c>
      <c r="G16" s="202">
        <f>F16</f>
        <v>2.6789999999999998</v>
      </c>
      <c r="H16" s="202">
        <f>G16</f>
        <v>2.6789999999999998</v>
      </c>
    </row>
    <row r="17" spans="1:11" ht="47.25" x14ac:dyDescent="0.25">
      <c r="A17" s="94" t="s">
        <v>85</v>
      </c>
      <c r="B17" s="93" t="s">
        <v>73</v>
      </c>
      <c r="C17" s="94" t="s">
        <v>71</v>
      </c>
      <c r="D17" s="94" t="s">
        <v>74</v>
      </c>
      <c r="E17" s="25">
        <v>273.60000000000002</v>
      </c>
      <c r="F17" s="202">
        <v>273.60000000000002</v>
      </c>
      <c r="G17" s="202">
        <f t="shared" ref="G17:H18" si="0">F17</f>
        <v>273.60000000000002</v>
      </c>
      <c r="H17" s="202">
        <f t="shared" si="0"/>
        <v>273.60000000000002</v>
      </c>
    </row>
    <row r="18" spans="1:11" ht="31.5" x14ac:dyDescent="0.25">
      <c r="A18" s="94" t="s">
        <v>87</v>
      </c>
      <c r="B18" s="93" t="s">
        <v>77</v>
      </c>
      <c r="C18" s="94" t="s">
        <v>75</v>
      </c>
      <c r="D18" s="94" t="s">
        <v>76</v>
      </c>
      <c r="E18" s="25">
        <v>1</v>
      </c>
      <c r="F18" s="202">
        <v>1</v>
      </c>
      <c r="G18" s="202">
        <f t="shared" si="0"/>
        <v>1</v>
      </c>
      <c r="H18" s="202">
        <f t="shared" si="0"/>
        <v>1</v>
      </c>
    </row>
    <row r="19" spans="1:11" ht="18.75" x14ac:dyDescent="0.25">
      <c r="A19" s="10"/>
    </row>
    <row r="20" spans="1:11" ht="18.75" x14ac:dyDescent="0.25">
      <c r="A20" s="10"/>
    </row>
    <row r="21" spans="1:11" ht="18.75" x14ac:dyDescent="0.25">
      <c r="A21" s="10"/>
    </row>
    <row r="22" spans="1:11" x14ac:dyDescent="0.25">
      <c r="K22" s="1">
        <v>3000</v>
      </c>
    </row>
    <row r="23" spans="1:11" x14ac:dyDescent="0.25">
      <c r="K23" s="1">
        <v>300</v>
      </c>
    </row>
    <row r="24" spans="1:11" x14ac:dyDescent="0.25">
      <c r="K24" s="1">
        <v>17650.099999999999</v>
      </c>
    </row>
    <row r="25" spans="1:11" x14ac:dyDescent="0.25">
      <c r="K25" s="1">
        <v>530</v>
      </c>
    </row>
    <row r="26" spans="1:11" x14ac:dyDescent="0.25">
      <c r="K26" s="1">
        <f>SUM(K22:K25)</f>
        <v>21480.1</v>
      </c>
    </row>
  </sheetData>
  <mergeCells count="12">
    <mergeCell ref="F1:H1"/>
    <mergeCell ref="A15:H15"/>
    <mergeCell ref="F4:H4"/>
    <mergeCell ref="A14:H14"/>
    <mergeCell ref="A7:H7"/>
    <mergeCell ref="A8:H8"/>
    <mergeCell ref="A11:A12"/>
    <mergeCell ref="B11:B12"/>
    <mergeCell ref="C11:C12"/>
    <mergeCell ref="D11:D12"/>
    <mergeCell ref="E11:H11"/>
    <mergeCell ref="A9:H9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view="pageBreakPreview" zoomScale="70" zoomScaleNormal="40" zoomScaleSheetLayoutView="70" workbookViewId="0">
      <selection activeCell="K1" sqref="K1:L1"/>
    </sheetView>
  </sheetViews>
  <sheetFormatPr defaultRowHeight="18.75" x14ac:dyDescent="0.25"/>
  <cols>
    <col min="1" max="1" width="4.75" style="222" customWidth="1"/>
    <col min="2" max="2" width="49.625" style="23" customWidth="1"/>
    <col min="3" max="3" width="25.125" style="23" customWidth="1"/>
    <col min="4" max="5" width="7.375" style="23" customWidth="1"/>
    <col min="6" max="6" width="17.75" style="23" customWidth="1"/>
    <col min="7" max="7" width="5.75" style="23" customWidth="1"/>
    <col min="8" max="10" width="13.75" style="23" bestFit="1" customWidth="1"/>
    <col min="11" max="11" width="20" style="23" customWidth="1"/>
    <col min="12" max="12" width="24.5" style="23" customWidth="1"/>
    <col min="13" max="13" width="9" style="23"/>
    <col min="14" max="14" width="24" style="23" customWidth="1"/>
    <col min="15" max="16384" width="9" style="23"/>
  </cols>
  <sheetData>
    <row r="1" spans="1:12" ht="84" customHeight="1" x14ac:dyDescent="0.3">
      <c r="K1" s="252"/>
      <c r="L1" s="252"/>
    </row>
    <row r="4" spans="1:12" ht="121.5" customHeight="1" x14ac:dyDescent="0.25">
      <c r="K4" s="253" t="s">
        <v>206</v>
      </c>
      <c r="L4" s="253"/>
    </row>
    <row r="7" spans="1:12" x14ac:dyDescent="0.25">
      <c r="A7" s="254" t="s">
        <v>1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</row>
    <row r="8" spans="1:12" x14ac:dyDescent="0.25">
      <c r="A8" s="254" t="s">
        <v>63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</row>
    <row r="10" spans="1:12" ht="42.75" customHeight="1" x14ac:dyDescent="0.25">
      <c r="A10" s="245" t="s">
        <v>19</v>
      </c>
      <c r="B10" s="245" t="s">
        <v>49</v>
      </c>
      <c r="C10" s="245" t="s">
        <v>231</v>
      </c>
      <c r="D10" s="245" t="s">
        <v>23</v>
      </c>
      <c r="E10" s="245"/>
      <c r="F10" s="245"/>
      <c r="G10" s="245"/>
      <c r="H10" s="245" t="s">
        <v>50</v>
      </c>
      <c r="I10" s="245"/>
      <c r="J10" s="245"/>
      <c r="K10" s="245"/>
      <c r="L10" s="245" t="s">
        <v>51</v>
      </c>
    </row>
    <row r="11" spans="1:12" ht="77.25" customHeight="1" x14ac:dyDescent="0.25">
      <c r="A11" s="245"/>
      <c r="B11" s="245"/>
      <c r="C11" s="245"/>
      <c r="D11" s="221" t="s">
        <v>25</v>
      </c>
      <c r="E11" s="221" t="s">
        <v>26</v>
      </c>
      <c r="F11" s="221" t="s">
        <v>27</v>
      </c>
      <c r="G11" s="221" t="s">
        <v>28</v>
      </c>
      <c r="H11" s="221">
        <v>2018</v>
      </c>
      <c r="I11" s="221">
        <v>2019</v>
      </c>
      <c r="J11" s="221">
        <v>2020</v>
      </c>
      <c r="K11" s="221" t="s">
        <v>52</v>
      </c>
      <c r="L11" s="245"/>
    </row>
    <row r="12" spans="1:12" x14ac:dyDescent="0.25">
      <c r="A12" s="221">
        <v>1</v>
      </c>
      <c r="B12" s="221">
        <v>2</v>
      </c>
      <c r="C12" s="221">
        <v>3</v>
      </c>
      <c r="D12" s="221">
        <v>4</v>
      </c>
      <c r="E12" s="221">
        <v>5</v>
      </c>
      <c r="F12" s="221">
        <v>6</v>
      </c>
      <c r="G12" s="221">
        <v>7</v>
      </c>
      <c r="H12" s="221">
        <v>8</v>
      </c>
      <c r="I12" s="221">
        <v>9</v>
      </c>
      <c r="J12" s="221">
        <v>10</v>
      </c>
      <c r="K12" s="221">
        <v>11</v>
      </c>
      <c r="L12" s="221">
        <v>12</v>
      </c>
    </row>
    <row r="13" spans="1:12" s="119" customFormat="1" ht="51.75" customHeight="1" x14ac:dyDescent="0.25">
      <c r="A13" s="255" t="s">
        <v>171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s="119" customFormat="1" ht="30" customHeight="1" x14ac:dyDescent="0.25">
      <c r="A14" s="255" t="s">
        <v>172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63" x14ac:dyDescent="0.25">
      <c r="A15" s="256" t="s">
        <v>3</v>
      </c>
      <c r="B15" s="250" t="s">
        <v>224</v>
      </c>
      <c r="C15" s="220" t="s">
        <v>66</v>
      </c>
      <c r="D15" s="221">
        <v>247</v>
      </c>
      <c r="E15" s="221" t="s">
        <v>62</v>
      </c>
      <c r="F15" s="146" t="s">
        <v>232</v>
      </c>
      <c r="G15" s="221">
        <v>540</v>
      </c>
      <c r="H15" s="76">
        <v>25380.400000000001</v>
      </c>
      <c r="I15" s="76">
        <v>0</v>
      </c>
      <c r="J15" s="76">
        <v>0</v>
      </c>
      <c r="K15" s="77">
        <f t="shared" ref="K15:K23" si="0">SUM(H15:J15)</f>
        <v>25380.400000000001</v>
      </c>
      <c r="L15" s="248" t="s">
        <v>135</v>
      </c>
    </row>
    <row r="16" spans="1:12" x14ac:dyDescent="0.25">
      <c r="A16" s="257"/>
      <c r="B16" s="251"/>
      <c r="C16" s="130" t="s">
        <v>235</v>
      </c>
      <c r="D16" s="130" t="s">
        <v>30</v>
      </c>
      <c r="E16" s="130" t="s">
        <v>30</v>
      </c>
      <c r="F16" s="130" t="s">
        <v>30</v>
      </c>
      <c r="G16" s="125" t="s">
        <v>30</v>
      </c>
      <c r="H16" s="131">
        <f t="shared" ref="H16" si="1">H15</f>
        <v>25380.400000000001</v>
      </c>
      <c r="I16" s="131">
        <f t="shared" ref="I16:J16" si="2">I15</f>
        <v>0</v>
      </c>
      <c r="J16" s="131">
        <f t="shared" si="2"/>
        <v>0</v>
      </c>
      <c r="K16" s="131">
        <f t="shared" si="0"/>
        <v>25380.400000000001</v>
      </c>
      <c r="L16" s="258"/>
    </row>
    <row r="17" spans="1:14" ht="63" x14ac:dyDescent="0.25">
      <c r="A17" s="256" t="s">
        <v>85</v>
      </c>
      <c r="B17" s="250" t="s">
        <v>223</v>
      </c>
      <c r="C17" s="220" t="s">
        <v>66</v>
      </c>
      <c r="D17" s="221">
        <v>247</v>
      </c>
      <c r="E17" s="221" t="s">
        <v>62</v>
      </c>
      <c r="F17" s="146" t="s">
        <v>233</v>
      </c>
      <c r="G17" s="221">
        <v>540</v>
      </c>
      <c r="H17" s="76" t="s">
        <v>231</v>
      </c>
      <c r="I17" s="76">
        <v>5000</v>
      </c>
      <c r="J17" s="76">
        <v>0</v>
      </c>
      <c r="K17" s="77">
        <f t="shared" si="0"/>
        <v>5000</v>
      </c>
      <c r="L17" s="258"/>
    </row>
    <row r="18" spans="1:14" x14ac:dyDescent="0.25">
      <c r="A18" s="257"/>
      <c r="B18" s="251"/>
      <c r="C18" s="130" t="s">
        <v>235</v>
      </c>
      <c r="D18" s="130" t="s">
        <v>30</v>
      </c>
      <c r="E18" s="130" t="s">
        <v>30</v>
      </c>
      <c r="F18" s="130" t="s">
        <v>30</v>
      </c>
      <c r="G18" s="130" t="s">
        <v>30</v>
      </c>
      <c r="H18" s="131" t="str">
        <f t="shared" ref="H18" si="3">H17</f>
        <v xml:space="preserve"> </v>
      </c>
      <c r="I18" s="131">
        <f t="shared" ref="I18:J18" si="4">I17</f>
        <v>5000</v>
      </c>
      <c r="J18" s="131">
        <f t="shared" si="4"/>
        <v>0</v>
      </c>
      <c r="K18" s="131">
        <f t="shared" si="0"/>
        <v>5000</v>
      </c>
      <c r="L18" s="249"/>
    </row>
    <row r="19" spans="1:14" ht="63" x14ac:dyDescent="0.25">
      <c r="A19" s="248" t="s">
        <v>87</v>
      </c>
      <c r="B19" s="250" t="s">
        <v>108</v>
      </c>
      <c r="C19" s="220" t="s">
        <v>96</v>
      </c>
      <c r="D19" s="221">
        <v>242</v>
      </c>
      <c r="E19" s="245" t="s">
        <v>62</v>
      </c>
      <c r="F19" s="245">
        <v>910081510</v>
      </c>
      <c r="G19" s="245">
        <v>244</v>
      </c>
      <c r="H19" s="76">
        <v>1650.83</v>
      </c>
      <c r="I19" s="76">
        <v>1650.83</v>
      </c>
      <c r="J19" s="76">
        <f>I19</f>
        <v>1650.83</v>
      </c>
      <c r="K19" s="77">
        <f t="shared" si="0"/>
        <v>4952.49</v>
      </c>
      <c r="L19" s="248" t="s">
        <v>135</v>
      </c>
    </row>
    <row r="20" spans="1:14" ht="63" x14ac:dyDescent="0.25">
      <c r="A20" s="258"/>
      <c r="B20" s="259"/>
      <c r="C20" s="220" t="s">
        <v>66</v>
      </c>
      <c r="D20" s="221">
        <v>247</v>
      </c>
      <c r="E20" s="245"/>
      <c r="F20" s="245"/>
      <c r="G20" s="245"/>
      <c r="H20" s="76">
        <v>2716.3249999999998</v>
      </c>
      <c r="I20" s="76">
        <v>4000</v>
      </c>
      <c r="J20" s="76">
        <v>4000</v>
      </c>
      <c r="K20" s="77">
        <f t="shared" si="0"/>
        <v>10716.325000000001</v>
      </c>
      <c r="L20" s="258"/>
      <c r="N20" s="112"/>
    </row>
    <row r="21" spans="1:14" x14ac:dyDescent="0.25">
      <c r="A21" s="249"/>
      <c r="B21" s="251"/>
      <c r="C21" s="130" t="s">
        <v>235</v>
      </c>
      <c r="D21" s="130" t="s">
        <v>30</v>
      </c>
      <c r="E21" s="130" t="s">
        <v>30</v>
      </c>
      <c r="F21" s="130" t="s">
        <v>30</v>
      </c>
      <c r="G21" s="130" t="s">
        <v>30</v>
      </c>
      <c r="H21" s="131">
        <f t="shared" ref="H21" si="5">H19+H20</f>
        <v>4367.1549999999997</v>
      </c>
      <c r="I21" s="131">
        <f t="shared" ref="I21:J21" si="6">I19+I20</f>
        <v>5650.83</v>
      </c>
      <c r="J21" s="131">
        <f t="shared" si="6"/>
        <v>5650.83</v>
      </c>
      <c r="K21" s="131">
        <f t="shared" si="0"/>
        <v>15668.815000000001</v>
      </c>
      <c r="L21" s="249"/>
      <c r="N21" s="112"/>
    </row>
    <row r="22" spans="1:14" s="26" customFormat="1" ht="70.5" customHeight="1" x14ac:dyDescent="0.25">
      <c r="A22" s="248" t="s">
        <v>88</v>
      </c>
      <c r="B22" s="250" t="s">
        <v>109</v>
      </c>
      <c r="C22" s="220" t="s">
        <v>66</v>
      </c>
      <c r="D22" s="221">
        <v>247</v>
      </c>
      <c r="E22" s="221" t="s">
        <v>62</v>
      </c>
      <c r="F22" s="221">
        <v>910081520</v>
      </c>
      <c r="G22" s="221">
        <v>540</v>
      </c>
      <c r="H22" s="76">
        <v>2238.7550000000001</v>
      </c>
      <c r="I22" s="76">
        <v>2238.7550000000001</v>
      </c>
      <c r="J22" s="76">
        <v>2238.7550000000001</v>
      </c>
      <c r="K22" s="77">
        <f t="shared" si="0"/>
        <v>6716.2650000000003</v>
      </c>
      <c r="L22" s="248" t="s">
        <v>134</v>
      </c>
    </row>
    <row r="23" spans="1:14" s="26" customFormat="1" x14ac:dyDescent="0.25">
      <c r="A23" s="249"/>
      <c r="B23" s="251"/>
      <c r="C23" s="130" t="s">
        <v>235</v>
      </c>
      <c r="D23" s="130" t="s">
        <v>30</v>
      </c>
      <c r="E23" s="130" t="s">
        <v>30</v>
      </c>
      <c r="F23" s="130" t="s">
        <v>30</v>
      </c>
      <c r="G23" s="130" t="s">
        <v>30</v>
      </c>
      <c r="H23" s="131">
        <f t="shared" ref="H23:J25" si="7">H22</f>
        <v>2238.7550000000001</v>
      </c>
      <c r="I23" s="131">
        <f t="shared" ref="I23:J23" si="8">I22</f>
        <v>2238.7550000000001</v>
      </c>
      <c r="J23" s="131">
        <f t="shared" si="8"/>
        <v>2238.7550000000001</v>
      </c>
      <c r="K23" s="131">
        <f t="shared" si="0"/>
        <v>6716.2650000000003</v>
      </c>
      <c r="L23" s="249"/>
    </row>
    <row r="24" spans="1:14" s="26" customFormat="1" ht="71.25" customHeight="1" x14ac:dyDescent="0.25">
      <c r="A24" s="248" t="s">
        <v>256</v>
      </c>
      <c r="B24" s="250" t="s">
        <v>255</v>
      </c>
      <c r="C24" s="220" t="s">
        <v>66</v>
      </c>
      <c r="D24" s="221">
        <v>247</v>
      </c>
      <c r="E24" s="221" t="s">
        <v>62</v>
      </c>
      <c r="F24" s="221">
        <v>910083490</v>
      </c>
      <c r="G24" s="221">
        <v>244</v>
      </c>
      <c r="H24" s="76">
        <v>296.99900000000002</v>
      </c>
      <c r="I24" s="76">
        <v>0</v>
      </c>
      <c r="J24" s="76">
        <v>0</v>
      </c>
      <c r="K24" s="77">
        <f t="shared" ref="K24:K25" si="9">SUM(H24:J24)</f>
        <v>296.99900000000002</v>
      </c>
      <c r="L24" s="248" t="s">
        <v>261</v>
      </c>
    </row>
    <row r="25" spans="1:14" s="26" customFormat="1" x14ac:dyDescent="0.25">
      <c r="A25" s="249"/>
      <c r="B25" s="251"/>
      <c r="C25" s="130" t="s">
        <v>235</v>
      </c>
      <c r="D25" s="130" t="s">
        <v>30</v>
      </c>
      <c r="E25" s="130" t="s">
        <v>30</v>
      </c>
      <c r="F25" s="130" t="s">
        <v>30</v>
      </c>
      <c r="G25" s="130" t="s">
        <v>30</v>
      </c>
      <c r="H25" s="131">
        <f t="shared" si="7"/>
        <v>296.99900000000002</v>
      </c>
      <c r="I25" s="131">
        <f t="shared" si="7"/>
        <v>0</v>
      </c>
      <c r="J25" s="131">
        <f t="shared" si="7"/>
        <v>0</v>
      </c>
      <c r="K25" s="131">
        <f t="shared" si="9"/>
        <v>296.99900000000002</v>
      </c>
      <c r="L25" s="249"/>
    </row>
    <row r="26" spans="1:14" s="120" customFormat="1" x14ac:dyDescent="0.25">
      <c r="A26" s="126"/>
      <c r="B26" s="127" t="s">
        <v>121</v>
      </c>
      <c r="C26" s="126" t="s">
        <v>30</v>
      </c>
      <c r="D26" s="126" t="s">
        <v>30</v>
      </c>
      <c r="E26" s="126" t="s">
        <v>30</v>
      </c>
      <c r="F26" s="126" t="s">
        <v>30</v>
      </c>
      <c r="G26" s="126" t="s">
        <v>30</v>
      </c>
      <c r="H26" s="128" t="e">
        <f>H16+H18+H21+H23+H25</f>
        <v>#VALUE!</v>
      </c>
      <c r="I26" s="128">
        <f t="shared" ref="I26:K26" si="10">I16+I18+I21+I23+I25</f>
        <v>12889.584999999999</v>
      </c>
      <c r="J26" s="128">
        <f t="shared" si="10"/>
        <v>7889.585</v>
      </c>
      <c r="K26" s="128">
        <f t="shared" si="10"/>
        <v>53062.479000000007</v>
      </c>
      <c r="L26" s="126" t="s">
        <v>30</v>
      </c>
    </row>
    <row r="27" spans="1:14" s="26" customFormat="1" x14ac:dyDescent="0.25">
      <c r="A27" s="27"/>
    </row>
    <row r="31" spans="1:14" x14ac:dyDescent="0.25">
      <c r="H31" s="45"/>
      <c r="I31" s="45"/>
      <c r="J31" s="45"/>
      <c r="K31" s="45"/>
    </row>
    <row r="32" spans="1:14" x14ac:dyDescent="0.25">
      <c r="H32" s="45"/>
      <c r="I32" s="45"/>
      <c r="J32" s="45"/>
      <c r="K32" s="45"/>
    </row>
    <row r="33" spans="8:11" x14ac:dyDescent="0.25">
      <c r="H33" s="45"/>
      <c r="I33" s="45"/>
      <c r="J33" s="45"/>
      <c r="K33" s="45"/>
    </row>
    <row r="34" spans="8:11" x14ac:dyDescent="0.25">
      <c r="H34" s="45"/>
      <c r="I34" s="45"/>
      <c r="J34" s="45"/>
      <c r="K34" s="45"/>
    </row>
    <row r="35" spans="8:11" x14ac:dyDescent="0.25">
      <c r="H35" s="121"/>
      <c r="I35" s="121"/>
      <c r="J35" s="121"/>
      <c r="K35" s="121"/>
    </row>
    <row r="36" spans="8:11" x14ac:dyDescent="0.25">
      <c r="H36" s="45"/>
      <c r="I36" s="45"/>
      <c r="J36" s="45"/>
      <c r="K36" s="45"/>
    </row>
    <row r="37" spans="8:11" x14ac:dyDescent="0.25">
      <c r="H37" s="45"/>
      <c r="I37" s="45"/>
      <c r="J37" s="45"/>
      <c r="K37" s="45"/>
    </row>
    <row r="38" spans="8:11" x14ac:dyDescent="0.25">
      <c r="H38" s="45"/>
      <c r="I38" s="45"/>
      <c r="J38" s="45"/>
      <c r="K38" s="45"/>
    </row>
  </sheetData>
  <mergeCells count="29">
    <mergeCell ref="L19:L21"/>
    <mergeCell ref="L22:L23"/>
    <mergeCell ref="B17:B18"/>
    <mergeCell ref="A17:A18"/>
    <mergeCell ref="B19:B21"/>
    <mergeCell ref="A19:A21"/>
    <mergeCell ref="B22:B23"/>
    <mergeCell ref="A22:A23"/>
    <mergeCell ref="A14:L14"/>
    <mergeCell ref="A13:L13"/>
    <mergeCell ref="B15:B16"/>
    <mergeCell ref="A15:A16"/>
    <mergeCell ref="L15:L18"/>
    <mergeCell ref="A24:A25"/>
    <mergeCell ref="B24:B25"/>
    <mergeCell ref="L24:L25"/>
    <mergeCell ref="K1:L1"/>
    <mergeCell ref="K4:L4"/>
    <mergeCell ref="G19:G20"/>
    <mergeCell ref="E19:E20"/>
    <mergeCell ref="F19:F20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78740157480314965" right="0.78740157480314965" top="1.1811023622047245" bottom="0.39370078740157483" header="0.31496062992125984" footer="0.31496062992125984"/>
  <pageSetup paperSize="9" scale="59" fitToHeight="0" orientation="landscape" r:id="rId1"/>
  <rowBreaks count="1" manualBreakCount="1">
    <brk id="1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view="pageBreakPreview" zoomScale="85" zoomScaleNormal="70" zoomScaleSheetLayoutView="85" workbookViewId="0">
      <selection activeCell="F1" sqref="F1:H1"/>
    </sheetView>
  </sheetViews>
  <sheetFormatPr defaultRowHeight="15.75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3.125" style="1" customWidth="1"/>
    <col min="9" max="16384" width="9" style="1"/>
  </cols>
  <sheetData>
    <row r="1" spans="1:8" ht="75.75" customHeight="1" x14ac:dyDescent="0.25">
      <c r="F1" s="234" t="s">
        <v>281</v>
      </c>
      <c r="G1" s="234"/>
      <c r="H1" s="234"/>
    </row>
    <row r="4" spans="1:8" ht="92.25" customHeight="1" x14ac:dyDescent="0.25">
      <c r="F4" s="235" t="s">
        <v>207</v>
      </c>
      <c r="G4" s="235"/>
      <c r="H4" s="235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238" t="s">
        <v>1</v>
      </c>
      <c r="B7" s="238"/>
      <c r="C7" s="238"/>
      <c r="D7" s="238"/>
      <c r="E7" s="238"/>
      <c r="F7" s="238"/>
      <c r="G7" s="238"/>
      <c r="H7" s="238"/>
    </row>
    <row r="8" spans="1:8" ht="48" customHeight="1" x14ac:dyDescent="0.25">
      <c r="A8" s="247" t="s">
        <v>78</v>
      </c>
      <c r="B8" s="238"/>
      <c r="C8" s="238"/>
      <c r="D8" s="238"/>
      <c r="E8" s="238"/>
      <c r="F8" s="238"/>
      <c r="G8" s="238"/>
      <c r="H8" s="238"/>
    </row>
    <row r="9" spans="1:8" ht="18.75" x14ac:dyDescent="0.25">
      <c r="A9" s="10"/>
    </row>
    <row r="10" spans="1:8" x14ac:dyDescent="0.25">
      <c r="A10" s="239" t="s">
        <v>19</v>
      </c>
      <c r="B10" s="239" t="s">
        <v>46</v>
      </c>
      <c r="C10" s="239" t="s">
        <v>2</v>
      </c>
      <c r="D10" s="239" t="s">
        <v>47</v>
      </c>
      <c r="E10" s="239" t="s">
        <v>48</v>
      </c>
      <c r="F10" s="239"/>
      <c r="G10" s="239"/>
      <c r="H10" s="239"/>
    </row>
    <row r="11" spans="1:8" x14ac:dyDescent="0.25">
      <c r="A11" s="239"/>
      <c r="B11" s="239"/>
      <c r="C11" s="239"/>
      <c r="D11" s="239"/>
      <c r="E11" s="150" t="s">
        <v>53</v>
      </c>
      <c r="F11" s="150" t="s">
        <v>54</v>
      </c>
      <c r="G11" s="150" t="s">
        <v>55</v>
      </c>
      <c r="H11" s="150" t="s">
        <v>58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260" t="str">
        <f>'пр к ПП2'!A13:L13</f>
        <v>Цель. Удовлетворение потребности населения в перевозках.</v>
      </c>
      <c r="B13" s="261"/>
      <c r="C13" s="261"/>
      <c r="D13" s="261"/>
      <c r="E13" s="261"/>
      <c r="F13" s="261"/>
      <c r="G13" s="261"/>
      <c r="H13" s="262"/>
    </row>
    <row r="14" spans="1:8" ht="33" customHeight="1" x14ac:dyDescent="0.25">
      <c r="A14" s="260" t="str">
        <f>'пр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261"/>
      <c r="C14" s="261"/>
      <c r="D14" s="261"/>
      <c r="E14" s="261"/>
      <c r="F14" s="261"/>
      <c r="G14" s="261"/>
      <c r="H14" s="262"/>
    </row>
    <row r="15" spans="1:8" ht="72" customHeight="1" x14ac:dyDescent="0.25">
      <c r="A15" s="11" t="s">
        <v>3</v>
      </c>
      <c r="B15" s="9" t="s">
        <v>139</v>
      </c>
      <c r="C15" s="11" t="s">
        <v>79</v>
      </c>
      <c r="D15" s="11" t="s">
        <v>80</v>
      </c>
      <c r="E15" s="25">
        <v>7.5739999999999998</v>
      </c>
      <c r="F15" s="202">
        <v>7.12</v>
      </c>
      <c r="G15" s="202">
        <f>F15</f>
        <v>7.12</v>
      </c>
      <c r="H15" s="202">
        <f>G15</f>
        <v>7.12</v>
      </c>
    </row>
    <row r="16" spans="1:8" ht="72" customHeight="1" x14ac:dyDescent="0.25">
      <c r="A16" s="11" t="s">
        <v>85</v>
      </c>
      <c r="B16" s="9" t="s">
        <v>140</v>
      </c>
      <c r="C16" s="11" t="s">
        <v>81</v>
      </c>
      <c r="D16" s="11" t="s">
        <v>80</v>
      </c>
      <c r="E16" s="25">
        <v>181.584</v>
      </c>
      <c r="F16" s="202">
        <f>E16</f>
        <v>181.584</v>
      </c>
      <c r="G16" s="202">
        <f t="shared" ref="G16:H16" si="0">F16</f>
        <v>181.584</v>
      </c>
      <c r="H16" s="202">
        <f t="shared" si="0"/>
        <v>181.584</v>
      </c>
    </row>
    <row r="17" spans="1:5" ht="18.75" x14ac:dyDescent="0.25">
      <c r="A17" s="10"/>
    </row>
    <row r="20" spans="1:5" x14ac:dyDescent="0.25">
      <c r="E20" s="33"/>
    </row>
  </sheetData>
  <mergeCells count="11"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view="pageBreakPreview" topLeftCell="A7" zoomScale="70" zoomScaleNormal="70" zoomScaleSheetLayoutView="70" workbookViewId="0">
      <selection activeCell="H15" sqref="H15"/>
    </sheetView>
  </sheetViews>
  <sheetFormatPr defaultRowHeight="18.75" outlineLevelRow="1" x14ac:dyDescent="0.25"/>
  <cols>
    <col min="1" max="1" width="4.75" style="215" customWidth="1"/>
    <col min="2" max="2" width="45.25" style="23" customWidth="1"/>
    <col min="3" max="3" width="18.5" style="23" customWidth="1"/>
    <col min="4" max="5" width="7.375" style="23" customWidth="1"/>
    <col min="6" max="6" width="17.75" style="23" customWidth="1"/>
    <col min="7" max="7" width="5.75" style="23" customWidth="1"/>
    <col min="8" max="10" width="13.75" style="23" bestFit="1" customWidth="1"/>
    <col min="11" max="11" width="18.625" style="23" customWidth="1"/>
    <col min="12" max="12" width="24.5" style="23" customWidth="1"/>
    <col min="13" max="16384" width="9" style="23"/>
  </cols>
  <sheetData>
    <row r="1" spans="1:12" ht="84" customHeight="1" x14ac:dyDescent="0.3">
      <c r="K1" s="252" t="s">
        <v>265</v>
      </c>
      <c r="L1" s="252"/>
    </row>
    <row r="4" spans="1:12" ht="88.5" customHeight="1" x14ac:dyDescent="0.25">
      <c r="K4" s="253" t="s">
        <v>208</v>
      </c>
      <c r="L4" s="253"/>
    </row>
    <row r="7" spans="1:12" x14ac:dyDescent="0.25">
      <c r="A7" s="254" t="s">
        <v>1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</row>
    <row r="8" spans="1:12" x14ac:dyDescent="0.25">
      <c r="A8" s="254" t="s">
        <v>241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</row>
    <row r="10" spans="1:12" s="28" customFormat="1" ht="32.25" customHeight="1" x14ac:dyDescent="0.25">
      <c r="A10" s="245" t="s">
        <v>19</v>
      </c>
      <c r="B10" s="245" t="s">
        <v>49</v>
      </c>
      <c r="C10" s="245" t="s">
        <v>25</v>
      </c>
      <c r="D10" s="245" t="s">
        <v>23</v>
      </c>
      <c r="E10" s="245"/>
      <c r="F10" s="245"/>
      <c r="G10" s="245"/>
      <c r="H10" s="245" t="s">
        <v>50</v>
      </c>
      <c r="I10" s="245"/>
      <c r="J10" s="245"/>
      <c r="K10" s="245"/>
      <c r="L10" s="245" t="s">
        <v>51</v>
      </c>
    </row>
    <row r="11" spans="1:12" s="28" customFormat="1" ht="85.5" customHeight="1" x14ac:dyDescent="0.25">
      <c r="A11" s="245"/>
      <c r="B11" s="245"/>
      <c r="C11" s="245"/>
      <c r="D11" s="214" t="s">
        <v>25</v>
      </c>
      <c r="E11" s="214" t="s">
        <v>26</v>
      </c>
      <c r="F11" s="214" t="s">
        <v>27</v>
      </c>
      <c r="G11" s="214" t="s">
        <v>28</v>
      </c>
      <c r="H11" s="214">
        <v>2018</v>
      </c>
      <c r="I11" s="214">
        <v>2019</v>
      </c>
      <c r="J11" s="214">
        <v>2020</v>
      </c>
      <c r="K11" s="214" t="s">
        <v>52</v>
      </c>
      <c r="L11" s="245"/>
    </row>
    <row r="12" spans="1:12" s="28" customFormat="1" ht="15.75" x14ac:dyDescent="0.25">
      <c r="A12" s="214">
        <v>1</v>
      </c>
      <c r="B12" s="214">
        <v>2</v>
      </c>
      <c r="C12" s="214">
        <v>3</v>
      </c>
      <c r="D12" s="214">
        <v>4</v>
      </c>
      <c r="E12" s="214">
        <v>5</v>
      </c>
      <c r="F12" s="214">
        <v>6</v>
      </c>
      <c r="G12" s="214">
        <v>7</v>
      </c>
      <c r="H12" s="214">
        <v>8</v>
      </c>
      <c r="I12" s="214">
        <v>9</v>
      </c>
      <c r="J12" s="214">
        <v>10</v>
      </c>
      <c r="K12" s="214">
        <v>11</v>
      </c>
      <c r="L12" s="214">
        <v>12</v>
      </c>
    </row>
    <row r="13" spans="1:12" s="29" customFormat="1" ht="18.75" customHeight="1" x14ac:dyDescent="0.25">
      <c r="A13" s="255" t="s">
        <v>170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s="29" customFormat="1" ht="15.75" x14ac:dyDescent="0.25">
      <c r="A14" s="255" t="s">
        <v>125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s="28" customFormat="1" ht="47.25" x14ac:dyDescent="0.25">
      <c r="A15" s="245" t="s">
        <v>3</v>
      </c>
      <c r="B15" s="243" t="s">
        <v>106</v>
      </c>
      <c r="C15" s="212" t="s">
        <v>65</v>
      </c>
      <c r="D15" s="214">
        <v>241</v>
      </c>
      <c r="E15" s="214" t="s">
        <v>64</v>
      </c>
      <c r="F15" s="146" t="s">
        <v>178</v>
      </c>
      <c r="G15" s="214">
        <v>811</v>
      </c>
      <c r="H15" s="76">
        <v>88484.053</v>
      </c>
      <c r="I15" s="76">
        <v>90534.81</v>
      </c>
      <c r="J15" s="76">
        <v>90534.81</v>
      </c>
      <c r="K15" s="77">
        <f>SUM(H15:J15)</f>
        <v>269553.67300000001</v>
      </c>
      <c r="L15" s="245" t="s">
        <v>122</v>
      </c>
    </row>
    <row r="16" spans="1:12" s="28" customFormat="1" ht="31.5" x14ac:dyDescent="0.25">
      <c r="A16" s="245"/>
      <c r="B16" s="243"/>
      <c r="C16" s="169" t="s">
        <v>235</v>
      </c>
      <c r="D16" s="130" t="s">
        <v>30</v>
      </c>
      <c r="E16" s="130" t="s">
        <v>30</v>
      </c>
      <c r="F16" s="130" t="s">
        <v>30</v>
      </c>
      <c r="G16" s="130" t="s">
        <v>30</v>
      </c>
      <c r="H16" s="170">
        <f t="shared" ref="H16:I16" si="0">H15</f>
        <v>88484.053</v>
      </c>
      <c r="I16" s="170">
        <f t="shared" si="0"/>
        <v>90534.81</v>
      </c>
      <c r="J16" s="170">
        <f t="shared" ref="J16" si="1">J15</f>
        <v>90534.81</v>
      </c>
      <c r="K16" s="147">
        <f t="shared" ref="K16:K18" si="2">SUM(H16:J16)</f>
        <v>269553.67300000001</v>
      </c>
      <c r="L16" s="245"/>
    </row>
    <row r="17" spans="1:12" s="28" customFormat="1" ht="47.25" x14ac:dyDescent="0.25">
      <c r="A17" s="245" t="s">
        <v>85</v>
      </c>
      <c r="B17" s="243" t="s">
        <v>107</v>
      </c>
      <c r="C17" s="212" t="s">
        <v>65</v>
      </c>
      <c r="D17" s="214">
        <v>241</v>
      </c>
      <c r="E17" s="214" t="s">
        <v>64</v>
      </c>
      <c r="F17" s="146" t="s">
        <v>179</v>
      </c>
      <c r="G17" s="214">
        <v>540</v>
      </c>
      <c r="H17" s="76">
        <v>21480.1</v>
      </c>
      <c r="I17" s="76">
        <f>H17</f>
        <v>21480.1</v>
      </c>
      <c r="J17" s="76">
        <f>I17</f>
        <v>21480.1</v>
      </c>
      <c r="K17" s="77">
        <f t="shared" si="2"/>
        <v>64440.299999999996</v>
      </c>
      <c r="L17" s="245" t="s">
        <v>138</v>
      </c>
    </row>
    <row r="18" spans="1:12" s="28" customFormat="1" ht="31.5" x14ac:dyDescent="0.25">
      <c r="A18" s="245"/>
      <c r="B18" s="243"/>
      <c r="C18" s="169" t="s">
        <v>235</v>
      </c>
      <c r="D18" s="130" t="s">
        <v>30</v>
      </c>
      <c r="E18" s="130" t="s">
        <v>30</v>
      </c>
      <c r="F18" s="130" t="s">
        <v>30</v>
      </c>
      <c r="G18" s="130" t="s">
        <v>30</v>
      </c>
      <c r="H18" s="170">
        <f t="shared" ref="H18" si="3">H17</f>
        <v>21480.1</v>
      </c>
      <c r="I18" s="170">
        <f t="shared" ref="I18:J18" si="4">I17</f>
        <v>21480.1</v>
      </c>
      <c r="J18" s="170">
        <f t="shared" si="4"/>
        <v>21480.1</v>
      </c>
      <c r="K18" s="147">
        <f t="shared" si="2"/>
        <v>64440.299999999996</v>
      </c>
      <c r="L18" s="245"/>
    </row>
    <row r="19" spans="1:12" s="29" customFormat="1" ht="15.75" x14ac:dyDescent="0.25">
      <c r="A19" s="255" t="s">
        <v>252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</row>
    <row r="20" spans="1:12" s="28" customFormat="1" ht="78.75" outlineLevel="1" x14ac:dyDescent="0.25">
      <c r="A20" s="245" t="s">
        <v>118</v>
      </c>
      <c r="B20" s="243" t="s">
        <v>217</v>
      </c>
      <c r="C20" s="212" t="s">
        <v>96</v>
      </c>
      <c r="D20" s="214">
        <v>242</v>
      </c>
      <c r="E20" s="146" t="s">
        <v>218</v>
      </c>
      <c r="F20" s="146" t="s">
        <v>234</v>
      </c>
      <c r="G20" s="214">
        <v>244</v>
      </c>
      <c r="H20" s="218">
        <v>0</v>
      </c>
      <c r="I20" s="76">
        <v>0</v>
      </c>
      <c r="J20" s="76">
        <v>0</v>
      </c>
      <c r="K20" s="77">
        <f t="shared" ref="K20:K24" si="5">SUM(H20:J20)</f>
        <v>0</v>
      </c>
      <c r="L20" s="245"/>
    </row>
    <row r="21" spans="1:12" s="28" customFormat="1" ht="31.5" outlineLevel="1" x14ac:dyDescent="0.25">
      <c r="A21" s="245"/>
      <c r="B21" s="243"/>
      <c r="C21" s="169" t="s">
        <v>235</v>
      </c>
      <c r="D21" s="130" t="s">
        <v>30</v>
      </c>
      <c r="E21" s="130" t="s">
        <v>30</v>
      </c>
      <c r="F21" s="130" t="s">
        <v>30</v>
      </c>
      <c r="G21" s="130" t="s">
        <v>30</v>
      </c>
      <c r="H21" s="170">
        <f>H20</f>
        <v>0</v>
      </c>
      <c r="I21" s="170">
        <f t="shared" ref="I21:I23" si="6">I20</f>
        <v>0</v>
      </c>
      <c r="J21" s="170">
        <f t="shared" ref="J21:J23" si="7">J20</f>
        <v>0</v>
      </c>
      <c r="K21" s="147">
        <f t="shared" si="5"/>
        <v>0</v>
      </c>
      <c r="L21" s="245"/>
    </row>
    <row r="22" spans="1:12" s="28" customFormat="1" ht="78.75" outlineLevel="1" x14ac:dyDescent="0.25">
      <c r="A22" s="245" t="s">
        <v>276</v>
      </c>
      <c r="B22" s="243" t="s">
        <v>278</v>
      </c>
      <c r="C22" s="213" t="s">
        <v>66</v>
      </c>
      <c r="D22" s="214">
        <v>247</v>
      </c>
      <c r="E22" s="146" t="s">
        <v>64</v>
      </c>
      <c r="F22" s="146" t="s">
        <v>277</v>
      </c>
      <c r="G22" s="214">
        <v>540</v>
      </c>
      <c r="H22" s="218">
        <v>1119.114</v>
      </c>
      <c r="I22" s="76">
        <v>0</v>
      </c>
      <c r="J22" s="76">
        <v>0</v>
      </c>
      <c r="K22" s="77">
        <f t="shared" ref="K22:K23" si="8">SUM(H22:J22)</f>
        <v>1119.114</v>
      </c>
      <c r="L22" s="214"/>
    </row>
    <row r="23" spans="1:12" s="28" customFormat="1" ht="31.5" outlineLevel="1" x14ac:dyDescent="0.25">
      <c r="A23" s="245"/>
      <c r="B23" s="243"/>
      <c r="C23" s="169" t="s">
        <v>235</v>
      </c>
      <c r="D23" s="130" t="s">
        <v>30</v>
      </c>
      <c r="E23" s="130" t="s">
        <v>30</v>
      </c>
      <c r="F23" s="130" t="s">
        <v>30</v>
      </c>
      <c r="G23" s="130" t="s">
        <v>30</v>
      </c>
      <c r="H23" s="170">
        <f>H22</f>
        <v>1119.114</v>
      </c>
      <c r="I23" s="170">
        <f t="shared" si="6"/>
        <v>0</v>
      </c>
      <c r="J23" s="170">
        <f t="shared" si="7"/>
        <v>0</v>
      </c>
      <c r="K23" s="147">
        <f t="shared" si="8"/>
        <v>1119.114</v>
      </c>
      <c r="L23" s="214"/>
    </row>
    <row r="24" spans="1:12" s="171" customFormat="1" x14ac:dyDescent="0.25">
      <c r="A24" s="126"/>
      <c r="B24" s="127" t="s">
        <v>121</v>
      </c>
      <c r="C24" s="126" t="s">
        <v>30</v>
      </c>
      <c r="D24" s="126" t="s">
        <v>30</v>
      </c>
      <c r="E24" s="126" t="s">
        <v>30</v>
      </c>
      <c r="F24" s="126" t="s">
        <v>30</v>
      </c>
      <c r="G24" s="126" t="s">
        <v>30</v>
      </c>
      <c r="H24" s="128">
        <f>H15+H17+H20+H22</f>
        <v>111083.26699999999</v>
      </c>
      <c r="I24" s="128">
        <f t="shared" ref="I24:J24" si="9">I15+I17+I20+I22</f>
        <v>112014.91</v>
      </c>
      <c r="J24" s="128">
        <f t="shared" si="9"/>
        <v>112014.91</v>
      </c>
      <c r="K24" s="128">
        <f t="shared" si="5"/>
        <v>335113.087</v>
      </c>
      <c r="L24" s="126" t="s">
        <v>30</v>
      </c>
    </row>
    <row r="26" spans="1:12" x14ac:dyDescent="0.25">
      <c r="H26" s="45">
        <f>H15/1000</f>
        <v>88.484053000000003</v>
      </c>
      <c r="I26" s="45">
        <f>I15/1000</f>
        <v>90.534809999999993</v>
      </c>
      <c r="J26" s="45">
        <f>J15/1000</f>
        <v>90.534809999999993</v>
      </c>
      <c r="K26" s="45">
        <f>K15/1000</f>
        <v>269.553673</v>
      </c>
    </row>
    <row r="27" spans="1:12" s="26" customFormat="1" x14ac:dyDescent="0.25">
      <c r="A27" s="27"/>
      <c r="H27" s="45">
        <f>H17/1000</f>
        <v>21.4801</v>
      </c>
      <c r="I27" s="45">
        <f>I17/1000</f>
        <v>21.4801</v>
      </c>
      <c r="J27" s="45">
        <f>J17/1000</f>
        <v>21.4801</v>
      </c>
      <c r="K27" s="45">
        <f>K17/1000</f>
        <v>64.440299999999993</v>
      </c>
    </row>
    <row r="28" spans="1:12" s="26" customFormat="1" x14ac:dyDescent="0.25">
      <c r="A28" s="27"/>
      <c r="H28" s="45">
        <f t="shared" ref="H28:K28" si="10">H24/1000</f>
        <v>111.08326699999999</v>
      </c>
      <c r="I28" s="45">
        <f t="shared" si="10"/>
        <v>112.01491</v>
      </c>
      <c r="J28" s="45">
        <f t="shared" si="10"/>
        <v>112.01491</v>
      </c>
      <c r="K28" s="45">
        <f t="shared" si="10"/>
        <v>335.11308700000001</v>
      </c>
    </row>
    <row r="29" spans="1:12" s="26" customFormat="1" x14ac:dyDescent="0.25">
      <c r="A29" s="27"/>
    </row>
  </sheetData>
  <autoFilter ref="A10:L26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4">
    <mergeCell ref="A10:A11"/>
    <mergeCell ref="B10:B11"/>
    <mergeCell ref="L15:L16"/>
    <mergeCell ref="C10:C11"/>
    <mergeCell ref="D10:G10"/>
    <mergeCell ref="H10:K10"/>
    <mergeCell ref="L10:L11"/>
    <mergeCell ref="A13:L13"/>
    <mergeCell ref="A22:A23"/>
    <mergeCell ref="B22:B23"/>
    <mergeCell ref="K1:L1"/>
    <mergeCell ref="A17:A18"/>
    <mergeCell ref="A20:A21"/>
    <mergeCell ref="B20:B21"/>
    <mergeCell ref="A19:L19"/>
    <mergeCell ref="L17:L18"/>
    <mergeCell ref="L20:L21"/>
    <mergeCell ref="B17:B18"/>
    <mergeCell ref="A15:A16"/>
    <mergeCell ref="B15:B16"/>
    <mergeCell ref="A14:L14"/>
    <mergeCell ref="K4:L4"/>
    <mergeCell ref="A7:L7"/>
    <mergeCell ref="A8:L8"/>
  </mergeCells>
  <pageMargins left="0.78740157480314965" right="0.78740157480314965" top="1.1811023622047245" bottom="0.39370078740157483" header="0.31496062992125984" footer="0.31496062992125984"/>
  <pageSetup paperSize="9" scale="63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tabSelected="1" view="pageBreakPreview" zoomScale="60" zoomScaleNormal="85" workbookViewId="0">
      <selection activeCell="F1" sqref="F1:H1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3.875" style="1" customWidth="1"/>
    <col min="9" max="16384" width="9" style="1"/>
  </cols>
  <sheetData>
    <row r="1" spans="1:8" ht="78.75" customHeight="1" x14ac:dyDescent="0.25">
      <c r="F1" s="234" t="s">
        <v>282</v>
      </c>
      <c r="G1" s="234"/>
      <c r="H1" s="234"/>
    </row>
    <row r="4" spans="1:8" ht="78.75" customHeight="1" x14ac:dyDescent="0.25">
      <c r="F4" s="235" t="s">
        <v>209</v>
      </c>
      <c r="G4" s="235"/>
      <c r="H4" s="235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238" t="s">
        <v>1</v>
      </c>
      <c r="B7" s="238"/>
      <c r="C7" s="238"/>
      <c r="D7" s="238"/>
      <c r="E7" s="238"/>
      <c r="F7" s="238"/>
      <c r="G7" s="238"/>
      <c r="H7" s="238"/>
    </row>
    <row r="8" spans="1:8" ht="48" customHeight="1" x14ac:dyDescent="0.25">
      <c r="A8" s="247" t="s">
        <v>82</v>
      </c>
      <c r="B8" s="238"/>
      <c r="C8" s="238"/>
      <c r="D8" s="238"/>
      <c r="E8" s="238"/>
      <c r="F8" s="238"/>
      <c r="G8" s="238"/>
      <c r="H8" s="238"/>
    </row>
    <row r="9" spans="1:8" ht="18.75" x14ac:dyDescent="0.25">
      <c r="A9" s="10"/>
    </row>
    <row r="10" spans="1:8" x14ac:dyDescent="0.25">
      <c r="A10" s="239" t="s">
        <v>19</v>
      </c>
      <c r="B10" s="239" t="s">
        <v>46</v>
      </c>
      <c r="C10" s="239" t="s">
        <v>2</v>
      </c>
      <c r="D10" s="239" t="s">
        <v>47</v>
      </c>
      <c r="E10" s="239" t="s">
        <v>48</v>
      </c>
      <c r="F10" s="239"/>
      <c r="G10" s="239"/>
      <c r="H10" s="239"/>
    </row>
    <row r="11" spans="1:8" x14ac:dyDescent="0.25">
      <c r="A11" s="239"/>
      <c r="B11" s="239"/>
      <c r="C11" s="239"/>
      <c r="D11" s="239"/>
      <c r="E11" s="150" t="s">
        <v>53</v>
      </c>
      <c r="F11" s="150" t="s">
        <v>54</v>
      </c>
      <c r="G11" s="150" t="s">
        <v>55</v>
      </c>
      <c r="H11" s="150" t="s">
        <v>58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246" t="str">
        <f>'пр к ПП3'!A13:L13</f>
        <v>Цель. Снижение числа лиц, погибших в результате ДТП, и количества ДТП с пострадавшими.</v>
      </c>
      <c r="B13" s="246"/>
      <c r="C13" s="246"/>
      <c r="D13" s="246"/>
      <c r="E13" s="246"/>
      <c r="F13" s="246"/>
      <c r="G13" s="246"/>
      <c r="H13" s="246"/>
    </row>
    <row r="14" spans="1:8" ht="41.25" customHeight="1" x14ac:dyDescent="0.25">
      <c r="A14" s="246" t="str">
        <f>'пр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246"/>
      <c r="C14" s="246"/>
      <c r="D14" s="246"/>
      <c r="E14" s="246"/>
      <c r="F14" s="246"/>
      <c r="G14" s="246"/>
      <c r="H14" s="246"/>
    </row>
    <row r="15" spans="1:8" s="50" customFormat="1" ht="63" x14ac:dyDescent="0.25">
      <c r="A15" s="48" t="s">
        <v>3</v>
      </c>
      <c r="B15" s="21" t="s">
        <v>142</v>
      </c>
      <c r="C15" s="48" t="s">
        <v>144</v>
      </c>
      <c r="D15" s="48" t="s">
        <v>148</v>
      </c>
      <c r="E15" s="160">
        <f>E16/E17*100000</f>
        <v>18.589664146734414</v>
      </c>
      <c r="F15" s="160">
        <f t="shared" ref="F15:H15" si="0">F16/F17*100000</f>
        <v>12.593665386310686</v>
      </c>
      <c r="G15" s="160">
        <f t="shared" si="0"/>
        <v>6.39877143588431</v>
      </c>
      <c r="H15" s="160">
        <f t="shared" si="0"/>
        <v>0</v>
      </c>
    </row>
    <row r="16" spans="1:8" s="158" customFormat="1" ht="31.5" hidden="1" outlineLevel="1" x14ac:dyDescent="0.25">
      <c r="A16" s="39"/>
      <c r="B16" s="38" t="s">
        <v>83</v>
      </c>
      <c r="C16" s="39"/>
      <c r="D16" s="39"/>
      <c r="E16" s="157">
        <f>'пр к пасп'!H26</f>
        <v>3</v>
      </c>
      <c r="F16" s="157">
        <f>'пр к пасп'!I26</f>
        <v>2</v>
      </c>
      <c r="G16" s="157">
        <f>'пр к пасп'!J26</f>
        <v>1</v>
      </c>
      <c r="H16" s="157">
        <f>'пр к пасп'!K26</f>
        <v>0</v>
      </c>
    </row>
    <row r="17" spans="1:8" s="158" customFormat="1" hidden="1" outlineLevel="1" x14ac:dyDescent="0.25">
      <c r="A17" s="39"/>
      <c r="B17" s="38" t="s">
        <v>126</v>
      </c>
      <c r="C17" s="39"/>
      <c r="D17" s="39"/>
      <c r="E17" s="157">
        <f>'пр к пасп'!H24</f>
        <v>16138</v>
      </c>
      <c r="F17" s="157">
        <f>'пр к пасп'!I24</f>
        <v>15881</v>
      </c>
      <c r="G17" s="157">
        <f>'пр к пасп'!J24</f>
        <v>15628</v>
      </c>
      <c r="H17" s="157">
        <f>'пр к пасп'!K24</f>
        <v>15394</v>
      </c>
    </row>
    <row r="18" spans="1:8" s="158" customFormat="1" hidden="1" outlineLevel="1" x14ac:dyDescent="0.25">
      <c r="A18" s="39"/>
      <c r="B18" s="38" t="s">
        <v>242</v>
      </c>
      <c r="C18" s="39"/>
      <c r="D18" s="39"/>
      <c r="E18" s="157">
        <v>4084</v>
      </c>
      <c r="F18" s="157">
        <v>4132</v>
      </c>
      <c r="G18" s="157">
        <f>ROUND(G17/F17*F18,0)</f>
        <v>4066</v>
      </c>
      <c r="H18" s="157">
        <f>ROUND(H17/G17*G18,0)</f>
        <v>4005</v>
      </c>
    </row>
    <row r="19" spans="1:8" s="49" customFormat="1" ht="63" collapsed="1" x14ac:dyDescent="0.25">
      <c r="A19" s="14" t="s">
        <v>85</v>
      </c>
      <c r="B19" s="47" t="s">
        <v>143</v>
      </c>
      <c r="C19" s="46" t="s">
        <v>145</v>
      </c>
      <c r="D19" s="46" t="s">
        <v>148</v>
      </c>
      <c r="E19" s="160">
        <f>E16/E18*10000</f>
        <v>7.3457394711067581</v>
      </c>
      <c r="F19" s="160">
        <f t="shared" ref="F19:H19" si="1">F16/F18*10000</f>
        <v>4.8402710551790902</v>
      </c>
      <c r="G19" s="160">
        <f t="shared" si="1"/>
        <v>2.4594195769798328</v>
      </c>
      <c r="H19" s="160">
        <f t="shared" si="1"/>
        <v>0</v>
      </c>
    </row>
    <row r="20" spans="1:8" s="49" customFormat="1" ht="31.5" x14ac:dyDescent="0.25">
      <c r="A20" s="46" t="s">
        <v>87</v>
      </c>
      <c r="B20" s="47" t="s">
        <v>146</v>
      </c>
      <c r="C20" s="46" t="s">
        <v>147</v>
      </c>
      <c r="D20" s="46" t="s">
        <v>148</v>
      </c>
      <c r="E20" s="160">
        <v>0</v>
      </c>
      <c r="F20" s="160">
        <v>0</v>
      </c>
      <c r="G20" s="160">
        <v>0</v>
      </c>
      <c r="H20" s="160">
        <v>0</v>
      </c>
    </row>
  </sheetData>
  <mergeCells count="11"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4" fitToHeight="0" orientation="landscape" verticalDpi="0" r:id="rId1"/>
  <rowBreaks count="1" manualBreakCount="1">
    <brk id="16" max="16383" man="1"/>
  </rowBreaks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view="pageBreakPreview" zoomScale="85" zoomScaleNormal="85" zoomScaleSheetLayoutView="85" workbookViewId="0">
      <selection activeCell="C18" sqref="C18"/>
    </sheetView>
  </sheetViews>
  <sheetFormatPr defaultRowHeight="18.75" outlineLevelRow="1" x14ac:dyDescent="0.25"/>
  <cols>
    <col min="1" max="1" width="4.75" style="206" customWidth="1"/>
    <col min="2" max="2" width="38.625" style="23" customWidth="1"/>
    <col min="3" max="3" width="18.5" style="23" customWidth="1"/>
    <col min="4" max="4" width="6.125" style="23" customWidth="1"/>
    <col min="5" max="5" width="6.875" style="23" customWidth="1"/>
    <col min="6" max="6" width="12" style="23" customWidth="1"/>
    <col min="7" max="7" width="5.75" style="23" customWidth="1"/>
    <col min="8" max="10" width="9.625" style="23" customWidth="1"/>
    <col min="11" max="11" width="17" style="23" customWidth="1"/>
    <col min="12" max="12" width="24.5" style="23" customWidth="1"/>
    <col min="13" max="16384" width="9" style="23"/>
  </cols>
  <sheetData>
    <row r="1" spans="1:12" ht="84" customHeight="1" x14ac:dyDescent="0.3">
      <c r="K1" s="252"/>
      <c r="L1" s="252"/>
    </row>
    <row r="4" spans="1:12" ht="88.5" customHeight="1" x14ac:dyDescent="0.25">
      <c r="K4" s="253" t="s">
        <v>210</v>
      </c>
      <c r="L4" s="253"/>
    </row>
    <row r="7" spans="1:12" x14ac:dyDescent="0.25">
      <c r="A7" s="254" t="s">
        <v>1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</row>
    <row r="8" spans="1:12" x14ac:dyDescent="0.25">
      <c r="A8" s="254" t="s">
        <v>68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</row>
    <row r="10" spans="1:12" s="28" customFormat="1" ht="15.75" x14ac:dyDescent="0.25">
      <c r="A10" s="245" t="s">
        <v>19</v>
      </c>
      <c r="B10" s="245" t="s">
        <v>49</v>
      </c>
      <c r="C10" s="245" t="s">
        <v>25</v>
      </c>
      <c r="D10" s="245" t="s">
        <v>23</v>
      </c>
      <c r="E10" s="245"/>
      <c r="F10" s="245"/>
      <c r="G10" s="245"/>
      <c r="H10" s="245" t="s">
        <v>50</v>
      </c>
      <c r="I10" s="245"/>
      <c r="J10" s="245"/>
      <c r="K10" s="245"/>
      <c r="L10" s="245" t="s">
        <v>51</v>
      </c>
    </row>
    <row r="11" spans="1:12" s="28" customFormat="1" ht="93" customHeight="1" x14ac:dyDescent="0.25">
      <c r="A11" s="245"/>
      <c r="B11" s="245"/>
      <c r="C11" s="245"/>
      <c r="D11" s="205" t="s">
        <v>25</v>
      </c>
      <c r="E11" s="205" t="s">
        <v>26</v>
      </c>
      <c r="F11" s="205" t="s">
        <v>27</v>
      </c>
      <c r="G11" s="205" t="s">
        <v>28</v>
      </c>
      <c r="H11" s="205">
        <v>2018</v>
      </c>
      <c r="I11" s="205">
        <v>2019</v>
      </c>
      <c r="J11" s="205">
        <v>2020</v>
      </c>
      <c r="K11" s="205" t="s">
        <v>52</v>
      </c>
      <c r="L11" s="245"/>
    </row>
    <row r="12" spans="1:12" s="28" customFormat="1" ht="15.75" x14ac:dyDescent="0.25">
      <c r="A12" s="205">
        <v>1</v>
      </c>
      <c r="B12" s="205">
        <v>2</v>
      </c>
      <c r="C12" s="205">
        <v>3</v>
      </c>
      <c r="D12" s="205">
        <v>4</v>
      </c>
      <c r="E12" s="205">
        <v>5</v>
      </c>
      <c r="F12" s="205">
        <v>6</v>
      </c>
      <c r="G12" s="205">
        <v>7</v>
      </c>
      <c r="H12" s="205">
        <v>8</v>
      </c>
      <c r="I12" s="205">
        <v>9</v>
      </c>
      <c r="J12" s="205">
        <v>10</v>
      </c>
      <c r="K12" s="205">
        <v>11</v>
      </c>
      <c r="L12" s="205">
        <v>12</v>
      </c>
    </row>
    <row r="13" spans="1:12" s="29" customFormat="1" ht="18.75" customHeight="1" x14ac:dyDescent="0.25">
      <c r="A13" s="263" t="s">
        <v>173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</row>
    <row r="14" spans="1:12" s="29" customFormat="1" ht="15.75" x14ac:dyDescent="0.25">
      <c r="A14" s="263" t="s">
        <v>174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</row>
    <row r="15" spans="1:12" s="30" customFormat="1" ht="42" customHeight="1" outlineLevel="1" x14ac:dyDescent="0.25">
      <c r="A15" s="245" t="s">
        <v>3</v>
      </c>
      <c r="B15" s="264" t="s">
        <v>245</v>
      </c>
      <c r="C15" s="264" t="s">
        <v>222</v>
      </c>
      <c r="D15" s="265">
        <v>243</v>
      </c>
      <c r="E15" s="266" t="s">
        <v>220</v>
      </c>
      <c r="F15" s="209" t="s">
        <v>219</v>
      </c>
      <c r="G15" s="265">
        <v>244</v>
      </c>
      <c r="H15" s="165">
        <v>0</v>
      </c>
      <c r="I15" s="165">
        <v>0</v>
      </c>
      <c r="J15" s="165">
        <v>0</v>
      </c>
      <c r="K15" s="165">
        <f>SUM(H15:J15)</f>
        <v>0</v>
      </c>
      <c r="L15" s="245"/>
    </row>
    <row r="16" spans="1:12" s="30" customFormat="1" ht="42" customHeight="1" outlineLevel="1" x14ac:dyDescent="0.25">
      <c r="A16" s="245"/>
      <c r="B16" s="264"/>
      <c r="C16" s="264"/>
      <c r="D16" s="265"/>
      <c r="E16" s="266"/>
      <c r="F16" s="209" t="s">
        <v>221</v>
      </c>
      <c r="G16" s="265"/>
      <c r="H16" s="165">
        <v>0</v>
      </c>
      <c r="I16" s="165">
        <v>0</v>
      </c>
      <c r="J16" s="165">
        <v>0</v>
      </c>
      <c r="K16" s="165">
        <f>SUM(H16:J16)</f>
        <v>0</v>
      </c>
      <c r="L16" s="245"/>
    </row>
    <row r="17" spans="1:12" s="30" customFormat="1" ht="31.5" outlineLevel="1" x14ac:dyDescent="0.25">
      <c r="A17" s="245"/>
      <c r="B17" s="264"/>
      <c r="C17" s="169" t="s">
        <v>235</v>
      </c>
      <c r="D17" s="130" t="s">
        <v>30</v>
      </c>
      <c r="E17" s="130" t="s">
        <v>30</v>
      </c>
      <c r="F17" s="130" t="s">
        <v>30</v>
      </c>
      <c r="G17" s="130" t="s">
        <v>30</v>
      </c>
      <c r="H17" s="194">
        <f>H15+H16</f>
        <v>0</v>
      </c>
      <c r="I17" s="194">
        <f t="shared" ref="I17:J17" si="0">I15+I16</f>
        <v>0</v>
      </c>
      <c r="J17" s="194">
        <f t="shared" si="0"/>
        <v>0</v>
      </c>
      <c r="K17" s="194">
        <f t="shared" ref="K17" si="1">SUM(H17:J17)</f>
        <v>0</v>
      </c>
      <c r="L17" s="245"/>
    </row>
    <row r="18" spans="1:12" s="30" customFormat="1" ht="84" customHeight="1" outlineLevel="1" x14ac:dyDescent="0.25">
      <c r="A18" s="245" t="s">
        <v>85</v>
      </c>
      <c r="B18" s="264" t="s">
        <v>216</v>
      </c>
      <c r="C18" s="223" t="s">
        <v>66</v>
      </c>
      <c r="D18" s="224">
        <v>247</v>
      </c>
      <c r="E18" s="225" t="s">
        <v>62</v>
      </c>
      <c r="F18" s="225" t="s">
        <v>67</v>
      </c>
      <c r="G18" s="224">
        <v>540</v>
      </c>
      <c r="H18" s="165">
        <v>220.5</v>
      </c>
      <c r="I18" s="165">
        <v>0</v>
      </c>
      <c r="J18" s="165">
        <v>0</v>
      </c>
      <c r="K18" s="165">
        <f t="shared" ref="K18" si="2">SUM(H18:J18)</f>
        <v>220.5</v>
      </c>
      <c r="L18" s="245"/>
    </row>
    <row r="19" spans="1:12" s="30" customFormat="1" ht="31.5" outlineLevel="1" x14ac:dyDescent="0.25">
      <c r="A19" s="245"/>
      <c r="B19" s="264"/>
      <c r="C19" s="169" t="s">
        <v>235</v>
      </c>
      <c r="D19" s="130" t="s">
        <v>30</v>
      </c>
      <c r="E19" s="130" t="s">
        <v>30</v>
      </c>
      <c r="F19" s="130" t="s">
        <v>30</v>
      </c>
      <c r="G19" s="130" t="s">
        <v>30</v>
      </c>
      <c r="H19" s="194">
        <f>H18</f>
        <v>220.5</v>
      </c>
      <c r="I19" s="194">
        <f t="shared" ref="I19:J19" si="3">I18</f>
        <v>0</v>
      </c>
      <c r="J19" s="194">
        <f t="shared" si="3"/>
        <v>0</v>
      </c>
      <c r="K19" s="194">
        <f t="shared" ref="K19:K22" si="4">SUM(H19:J19)</f>
        <v>220.5</v>
      </c>
      <c r="L19" s="245"/>
    </row>
    <row r="20" spans="1:12" s="30" customFormat="1" ht="110.25" outlineLevel="1" x14ac:dyDescent="0.25">
      <c r="A20" s="245" t="s">
        <v>87</v>
      </c>
      <c r="B20" s="264" t="s">
        <v>268</v>
      </c>
      <c r="C20" s="207" t="s">
        <v>269</v>
      </c>
      <c r="D20" s="208">
        <v>244</v>
      </c>
      <c r="E20" s="209" t="s">
        <v>62</v>
      </c>
      <c r="F20" s="209" t="s">
        <v>270</v>
      </c>
      <c r="G20" s="208">
        <v>244</v>
      </c>
      <c r="H20" s="165">
        <v>0</v>
      </c>
      <c r="I20" s="165">
        <v>0</v>
      </c>
      <c r="J20" s="165">
        <v>0</v>
      </c>
      <c r="K20" s="165">
        <f t="shared" si="4"/>
        <v>0</v>
      </c>
      <c r="L20" s="205"/>
    </row>
    <row r="21" spans="1:12" s="30" customFormat="1" ht="31.5" outlineLevel="1" x14ac:dyDescent="0.25">
      <c r="A21" s="245"/>
      <c r="B21" s="264"/>
      <c r="C21" s="169" t="s">
        <v>235</v>
      </c>
      <c r="D21" s="130" t="s">
        <v>30</v>
      </c>
      <c r="E21" s="130" t="s">
        <v>30</v>
      </c>
      <c r="F21" s="130" t="s">
        <v>30</v>
      </c>
      <c r="G21" s="130" t="s">
        <v>30</v>
      </c>
      <c r="H21" s="194">
        <f>H20</f>
        <v>0</v>
      </c>
      <c r="I21" s="194">
        <f t="shared" ref="I21:J21" si="5">I20</f>
        <v>0</v>
      </c>
      <c r="J21" s="194">
        <f t="shared" si="5"/>
        <v>0</v>
      </c>
      <c r="K21" s="194">
        <f t="shared" si="4"/>
        <v>0</v>
      </c>
      <c r="L21" s="205"/>
    </row>
    <row r="22" spans="1:12" x14ac:dyDescent="0.25">
      <c r="A22" s="126"/>
      <c r="B22" s="127" t="s">
        <v>121</v>
      </c>
      <c r="C22" s="126" t="s">
        <v>30</v>
      </c>
      <c r="D22" s="126" t="s">
        <v>30</v>
      </c>
      <c r="E22" s="126" t="s">
        <v>30</v>
      </c>
      <c r="F22" s="126" t="s">
        <v>30</v>
      </c>
      <c r="G22" s="126" t="s">
        <v>30</v>
      </c>
      <c r="H22" s="166">
        <f>H17+H19</f>
        <v>220.5</v>
      </c>
      <c r="I22" s="166">
        <f t="shared" ref="I22:J22" si="6">I17+I19</f>
        <v>0</v>
      </c>
      <c r="J22" s="166">
        <f t="shared" si="6"/>
        <v>0</v>
      </c>
      <c r="K22" s="166">
        <f t="shared" si="4"/>
        <v>220.5</v>
      </c>
      <c r="L22" s="126" t="s">
        <v>30</v>
      </c>
    </row>
    <row r="25" spans="1:12" x14ac:dyDescent="0.25">
      <c r="H25" s="45">
        <f>H18/1000</f>
        <v>0.2205</v>
      </c>
      <c r="I25" s="45">
        <f>I18/1000</f>
        <v>0</v>
      </c>
      <c r="J25" s="45">
        <f>J18/1000</f>
        <v>0</v>
      </c>
      <c r="K25" s="45">
        <f>K18/1000</f>
        <v>0.2205</v>
      </c>
    </row>
    <row r="26" spans="1:12" x14ac:dyDescent="0.25">
      <c r="H26" s="45">
        <f>H22/1000</f>
        <v>0.2205</v>
      </c>
      <c r="I26" s="45">
        <f t="shared" ref="I26:K26" si="7">I22/1000</f>
        <v>0</v>
      </c>
      <c r="J26" s="45">
        <f t="shared" si="7"/>
        <v>0</v>
      </c>
      <c r="K26" s="45">
        <f t="shared" si="7"/>
        <v>0.2205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4">
    <mergeCell ref="A20:A21"/>
    <mergeCell ref="B20:B21"/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78740157480314965" right="0.78740157480314965" top="1.1811023622047245" bottom="0.39370078740157483" header="0.31496062992125984" footer="0.31496062992125984"/>
  <pageSetup paperSize="9" scale="74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="70" zoomScaleNormal="70" workbookViewId="0">
      <selection activeCell="B12" sqref="B12"/>
    </sheetView>
  </sheetViews>
  <sheetFormatPr defaultRowHeight="15.75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92.25" customHeight="1" x14ac:dyDescent="0.25">
      <c r="F1" s="235" t="s">
        <v>211</v>
      </c>
      <c r="G1" s="235"/>
      <c r="H1" s="235"/>
    </row>
    <row r="2" spans="1:8" ht="18.75" x14ac:dyDescent="0.25">
      <c r="A2" s="53"/>
    </row>
    <row r="3" spans="1:8" ht="18.75" x14ac:dyDescent="0.25">
      <c r="A3" s="53"/>
    </row>
    <row r="4" spans="1:8" ht="18.75" x14ac:dyDescent="0.25">
      <c r="A4" s="238" t="s">
        <v>1</v>
      </c>
      <c r="B4" s="238"/>
      <c r="C4" s="238"/>
      <c r="D4" s="238"/>
      <c r="E4" s="238"/>
      <c r="F4" s="238"/>
      <c r="G4" s="238"/>
      <c r="H4" s="238"/>
    </row>
    <row r="5" spans="1:8" ht="48" customHeight="1" x14ac:dyDescent="0.25">
      <c r="A5" s="247" t="s">
        <v>165</v>
      </c>
      <c r="B5" s="238"/>
      <c r="C5" s="238"/>
      <c r="D5" s="238"/>
      <c r="E5" s="238"/>
      <c r="F5" s="238"/>
      <c r="G5" s="238"/>
      <c r="H5" s="238"/>
    </row>
    <row r="6" spans="1:8" ht="18.75" x14ac:dyDescent="0.25">
      <c r="A6" s="53"/>
    </row>
    <row r="7" spans="1:8" x14ac:dyDescent="0.25">
      <c r="A7" s="239" t="s">
        <v>19</v>
      </c>
      <c r="B7" s="239" t="s">
        <v>46</v>
      </c>
      <c r="C7" s="239" t="s">
        <v>2</v>
      </c>
      <c r="D7" s="239" t="s">
        <v>47</v>
      </c>
      <c r="E7" s="239" t="s">
        <v>48</v>
      </c>
      <c r="F7" s="239"/>
      <c r="G7" s="239"/>
      <c r="H7" s="239"/>
    </row>
    <row r="8" spans="1:8" x14ac:dyDescent="0.25">
      <c r="A8" s="239"/>
      <c r="B8" s="239"/>
      <c r="C8" s="239"/>
      <c r="D8" s="239"/>
      <c r="E8" s="154" t="s">
        <v>53</v>
      </c>
      <c r="F8" s="154" t="s">
        <v>54</v>
      </c>
      <c r="G8" s="154" t="s">
        <v>55</v>
      </c>
      <c r="H8" s="154" t="s">
        <v>58</v>
      </c>
    </row>
    <row r="9" spans="1:8" x14ac:dyDescent="0.25">
      <c r="A9" s="52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  <c r="G9" s="52">
        <v>7</v>
      </c>
      <c r="H9" s="52">
        <v>8</v>
      </c>
    </row>
    <row r="10" spans="1:8" ht="36" customHeight="1" x14ac:dyDescent="0.25">
      <c r="A10" s="267" t="str">
        <f>'пр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267"/>
      <c r="C10" s="267"/>
      <c r="D10" s="267"/>
      <c r="E10" s="267"/>
      <c r="F10" s="267"/>
      <c r="G10" s="267"/>
      <c r="H10" s="267"/>
    </row>
    <row r="11" spans="1:8" ht="20.25" customHeight="1" x14ac:dyDescent="0.25">
      <c r="A11" s="267" t="str">
        <f>'пр к ПП4'!A14</f>
        <v>Задача 1. Создание условий, обеспечивающих доступность внутризоновой, междугородней и международной связи.</v>
      </c>
      <c r="B11" s="267"/>
      <c r="C11" s="267"/>
      <c r="D11" s="267"/>
      <c r="E11" s="267"/>
      <c r="F11" s="267"/>
      <c r="G11" s="267"/>
      <c r="H11" s="267"/>
    </row>
    <row r="12" spans="1:8" s="15" customFormat="1" ht="82.5" customHeight="1" x14ac:dyDescent="0.25">
      <c r="A12" s="57" t="s">
        <v>3</v>
      </c>
      <c r="B12" s="80" t="s">
        <v>251</v>
      </c>
      <c r="C12" s="79" t="s">
        <v>75</v>
      </c>
      <c r="D12" s="57" t="s">
        <v>212</v>
      </c>
      <c r="E12" s="161">
        <v>1</v>
      </c>
      <c r="F12" s="161">
        <v>1</v>
      </c>
      <c r="G12" s="161">
        <f t="shared" ref="G12:H12" si="0">F12</f>
        <v>1</v>
      </c>
      <c r="H12" s="161">
        <f t="shared" si="0"/>
        <v>1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view="pageBreakPreview" topLeftCell="A4" zoomScale="70" zoomScaleNormal="100" zoomScaleSheetLayoutView="70" workbookViewId="0">
      <selection activeCell="F30" sqref="F30:F34"/>
    </sheetView>
  </sheetViews>
  <sheetFormatPr defaultRowHeight="18.75" x14ac:dyDescent="0.25"/>
  <cols>
    <col min="1" max="1" width="4.75" style="23" customWidth="1"/>
    <col min="2" max="2" width="49.625" style="23" customWidth="1"/>
    <col min="3" max="3" width="24.75" style="23" customWidth="1"/>
    <col min="4" max="5" width="7.375" style="23" customWidth="1"/>
    <col min="6" max="6" width="21" style="23" customWidth="1"/>
    <col min="7" max="7" width="5.75" style="23" customWidth="1"/>
    <col min="8" max="9" width="15.25" style="23" bestFit="1" customWidth="1"/>
    <col min="10" max="10" width="13.75" style="23" bestFit="1" customWidth="1"/>
    <col min="11" max="11" width="20" style="23" customWidth="1"/>
    <col min="12" max="12" width="24.5" style="23" customWidth="1"/>
    <col min="13" max="16384" width="9" style="23"/>
  </cols>
  <sheetData>
    <row r="1" spans="1:12" ht="84" customHeight="1" x14ac:dyDescent="0.3">
      <c r="K1" s="252" t="s">
        <v>266</v>
      </c>
      <c r="L1" s="252"/>
    </row>
    <row r="4" spans="1:12" ht="63" customHeight="1" x14ac:dyDescent="0.25">
      <c r="K4" s="253" t="s">
        <v>213</v>
      </c>
      <c r="L4" s="253"/>
    </row>
    <row r="5" spans="1:12" x14ac:dyDescent="0.25">
      <c r="A5" s="24"/>
    </row>
    <row r="6" spans="1:12" x14ac:dyDescent="0.25">
      <c r="A6" s="24"/>
    </row>
    <row r="7" spans="1:12" x14ac:dyDescent="0.25">
      <c r="A7" s="254" t="s">
        <v>1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</row>
    <row r="8" spans="1:12" x14ac:dyDescent="0.25">
      <c r="A8" s="254" t="s">
        <v>177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</row>
    <row r="9" spans="1:12" x14ac:dyDescent="0.25">
      <c r="A9" s="24"/>
    </row>
    <row r="10" spans="1:12" s="28" customFormat="1" ht="15.75" x14ac:dyDescent="0.25">
      <c r="A10" s="245" t="s">
        <v>19</v>
      </c>
      <c r="B10" s="245" t="s">
        <v>49</v>
      </c>
      <c r="C10" s="245" t="s">
        <v>25</v>
      </c>
      <c r="D10" s="245" t="s">
        <v>23</v>
      </c>
      <c r="E10" s="245"/>
      <c r="F10" s="245"/>
      <c r="G10" s="245"/>
      <c r="H10" s="245" t="s">
        <v>50</v>
      </c>
      <c r="I10" s="245"/>
      <c r="J10" s="245"/>
      <c r="K10" s="245"/>
      <c r="L10" s="245" t="s">
        <v>51</v>
      </c>
    </row>
    <row r="11" spans="1:12" s="28" customFormat="1" ht="93" customHeight="1" x14ac:dyDescent="0.25">
      <c r="A11" s="245"/>
      <c r="B11" s="245"/>
      <c r="C11" s="245"/>
      <c r="D11" s="214" t="s">
        <v>25</v>
      </c>
      <c r="E11" s="214" t="s">
        <v>26</v>
      </c>
      <c r="F11" s="214" t="s">
        <v>27</v>
      </c>
      <c r="G11" s="214" t="s">
        <v>28</v>
      </c>
      <c r="H11" s="214">
        <v>2018</v>
      </c>
      <c r="I11" s="214">
        <v>2019</v>
      </c>
      <c r="J11" s="214">
        <v>2020</v>
      </c>
      <c r="K11" s="214" t="s">
        <v>52</v>
      </c>
      <c r="L11" s="245"/>
    </row>
    <row r="12" spans="1:12" s="28" customFormat="1" ht="15.75" x14ac:dyDescent="0.25">
      <c r="A12" s="214">
        <v>1</v>
      </c>
      <c r="B12" s="214">
        <v>2</v>
      </c>
      <c r="C12" s="214">
        <v>3</v>
      </c>
      <c r="D12" s="214">
        <v>4</v>
      </c>
      <c r="E12" s="214">
        <v>5</v>
      </c>
      <c r="F12" s="214">
        <v>6</v>
      </c>
      <c r="G12" s="214">
        <v>7</v>
      </c>
      <c r="H12" s="214">
        <v>8</v>
      </c>
      <c r="I12" s="214">
        <v>9</v>
      </c>
      <c r="J12" s="214">
        <v>10</v>
      </c>
      <c r="K12" s="214">
        <v>11</v>
      </c>
      <c r="L12" s="214">
        <v>12</v>
      </c>
    </row>
    <row r="13" spans="1:12" s="29" customFormat="1" ht="18.75" customHeight="1" x14ac:dyDescent="0.25">
      <c r="A13" s="270" t="s">
        <v>175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2"/>
    </row>
    <row r="14" spans="1:12" s="29" customFormat="1" ht="18" customHeight="1" x14ac:dyDescent="0.25">
      <c r="A14" s="270" t="s">
        <v>176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2"/>
    </row>
    <row r="15" spans="1:12" s="30" customFormat="1" ht="67.5" customHeight="1" x14ac:dyDescent="0.25">
      <c r="A15" s="248" t="s">
        <v>3</v>
      </c>
      <c r="B15" s="250" t="s">
        <v>250</v>
      </c>
      <c r="C15" s="214" t="s">
        <v>65</v>
      </c>
      <c r="D15" s="214">
        <v>241</v>
      </c>
      <c r="E15" s="146" t="s">
        <v>69</v>
      </c>
      <c r="F15" s="219" t="s">
        <v>201</v>
      </c>
      <c r="G15" s="214">
        <v>244</v>
      </c>
      <c r="H15" s="76">
        <v>9999</v>
      </c>
      <c r="I15" s="76">
        <v>10600</v>
      </c>
      <c r="J15" s="76">
        <f>I15</f>
        <v>10600</v>
      </c>
      <c r="K15" s="77">
        <f t="shared" ref="K15:K16" si="0">SUM(H15:J15)</f>
        <v>31199</v>
      </c>
      <c r="L15" s="248" t="s">
        <v>149</v>
      </c>
    </row>
    <row r="16" spans="1:12" s="30" customFormat="1" ht="15.75" x14ac:dyDescent="0.25">
      <c r="A16" s="249"/>
      <c r="B16" s="251"/>
      <c r="C16" s="130" t="s">
        <v>235</v>
      </c>
      <c r="D16" s="130" t="s">
        <v>30</v>
      </c>
      <c r="E16" s="130" t="s">
        <v>30</v>
      </c>
      <c r="F16" s="130" t="s">
        <v>30</v>
      </c>
      <c r="G16" s="130" t="s">
        <v>30</v>
      </c>
      <c r="H16" s="131">
        <f>H15</f>
        <v>9999</v>
      </c>
      <c r="I16" s="131">
        <f t="shared" ref="I16:J16" si="1">I15</f>
        <v>10600</v>
      </c>
      <c r="J16" s="131">
        <f t="shared" si="1"/>
        <v>10600</v>
      </c>
      <c r="K16" s="147">
        <f t="shared" si="0"/>
        <v>31199</v>
      </c>
      <c r="L16" s="249"/>
    </row>
    <row r="17" spans="1:12" s="30" customFormat="1" ht="33.75" customHeight="1" x14ac:dyDescent="0.25">
      <c r="A17" s="248" t="s">
        <v>85</v>
      </c>
      <c r="B17" s="250" t="s">
        <v>257</v>
      </c>
      <c r="C17" s="248" t="s">
        <v>96</v>
      </c>
      <c r="D17" s="248">
        <v>242</v>
      </c>
      <c r="E17" s="268" t="s">
        <v>260</v>
      </c>
      <c r="F17" s="219" t="s">
        <v>258</v>
      </c>
      <c r="G17" s="248">
        <v>244</v>
      </c>
      <c r="H17" s="76">
        <v>3062.2</v>
      </c>
      <c r="I17" s="76">
        <v>0</v>
      </c>
      <c r="J17" s="76">
        <v>0</v>
      </c>
      <c r="K17" s="77">
        <f t="shared" ref="K17:K19" si="2">SUM(H17:J17)</f>
        <v>3062.2</v>
      </c>
      <c r="L17" s="248" t="s">
        <v>149</v>
      </c>
    </row>
    <row r="18" spans="1:12" s="30" customFormat="1" ht="33.75" customHeight="1" x14ac:dyDescent="0.25">
      <c r="A18" s="258"/>
      <c r="B18" s="259"/>
      <c r="C18" s="249"/>
      <c r="D18" s="249"/>
      <c r="E18" s="269"/>
      <c r="F18" s="219" t="s">
        <v>259</v>
      </c>
      <c r="G18" s="249"/>
      <c r="H18" s="76">
        <v>6.1369999999999996</v>
      </c>
      <c r="I18" s="76">
        <v>0</v>
      </c>
      <c r="J18" s="76">
        <v>0</v>
      </c>
      <c r="K18" s="77">
        <f t="shared" si="2"/>
        <v>6.1369999999999996</v>
      </c>
      <c r="L18" s="258"/>
    </row>
    <row r="19" spans="1:12" s="30" customFormat="1" ht="15.75" x14ac:dyDescent="0.25">
      <c r="A19" s="249"/>
      <c r="B19" s="251"/>
      <c r="C19" s="130" t="s">
        <v>235</v>
      </c>
      <c r="D19" s="130" t="s">
        <v>30</v>
      </c>
      <c r="E19" s="130" t="s">
        <v>30</v>
      </c>
      <c r="F19" s="130" t="s">
        <v>30</v>
      </c>
      <c r="G19" s="130" t="s">
        <v>30</v>
      </c>
      <c r="H19" s="131">
        <f>H17+H18</f>
        <v>3068.337</v>
      </c>
      <c r="I19" s="131">
        <f t="shared" ref="I19:J19" si="3">I17+I18</f>
        <v>0</v>
      </c>
      <c r="J19" s="131">
        <f t="shared" si="3"/>
        <v>0</v>
      </c>
      <c r="K19" s="147">
        <f t="shared" si="2"/>
        <v>3068.337</v>
      </c>
      <c r="L19" s="249"/>
    </row>
    <row r="20" spans="1:12" x14ac:dyDescent="0.25">
      <c r="A20" s="126"/>
      <c r="B20" s="127" t="s">
        <v>121</v>
      </c>
      <c r="C20" s="126" t="s">
        <v>30</v>
      </c>
      <c r="D20" s="126" t="s">
        <v>30</v>
      </c>
      <c r="E20" s="126" t="s">
        <v>30</v>
      </c>
      <c r="F20" s="126" t="s">
        <v>30</v>
      </c>
      <c r="G20" s="126" t="s">
        <v>30</v>
      </c>
      <c r="H20" s="128">
        <f>H16+H19</f>
        <v>13067.337</v>
      </c>
      <c r="I20" s="128">
        <f t="shared" ref="I20:J20" si="4">I16+I19</f>
        <v>10600</v>
      </c>
      <c r="J20" s="128">
        <f t="shared" si="4"/>
        <v>10600</v>
      </c>
      <c r="K20" s="128">
        <f>SUM(H20:J20)</f>
        <v>34267.337</v>
      </c>
      <c r="L20" s="148" t="s">
        <v>30</v>
      </c>
    </row>
    <row r="21" spans="1:12" x14ac:dyDescent="0.25">
      <c r="H21" s="124"/>
    </row>
    <row r="22" spans="1:12" x14ac:dyDescent="0.25">
      <c r="H22" s="124"/>
    </row>
    <row r="25" spans="1:12" x14ac:dyDescent="0.25">
      <c r="F25" s="122"/>
      <c r="G25" s="122"/>
      <c r="H25" s="123"/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2">
    <mergeCell ref="L10:L11"/>
    <mergeCell ref="A10:A11"/>
    <mergeCell ref="B10:B11"/>
    <mergeCell ref="C10:C11"/>
    <mergeCell ref="D10:G10"/>
    <mergeCell ref="H10:K10"/>
    <mergeCell ref="K1:L1"/>
    <mergeCell ref="A17:A19"/>
    <mergeCell ref="B17:B19"/>
    <mergeCell ref="L17:L19"/>
    <mergeCell ref="C17:C18"/>
    <mergeCell ref="D17:D18"/>
    <mergeCell ref="E17:E18"/>
    <mergeCell ref="G17:G18"/>
    <mergeCell ref="B15:B16"/>
    <mergeCell ref="A15:A16"/>
    <mergeCell ref="L15:L16"/>
    <mergeCell ref="A14:L14"/>
    <mergeCell ref="A13:L13"/>
    <mergeCell ref="K4:L4"/>
    <mergeCell ref="A7:L7"/>
    <mergeCell ref="A8:L8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18</vt:i4>
      </vt:variant>
    </vt:vector>
  </HeadingPairs>
  <TitlesOfParts>
    <vt:vector size="34" baseType="lpstr">
      <vt:lpstr>пр к пасп</vt:lpstr>
      <vt:lpstr>пр к пасп ПП1</vt:lpstr>
      <vt:lpstr>пр к ПП1</vt:lpstr>
      <vt:lpstr>пр к пасп ПП2</vt:lpstr>
      <vt:lpstr>пр к ПП2</vt:lpstr>
      <vt:lpstr>пр к пасп ПП3</vt:lpstr>
      <vt:lpstr>пр к ПП3</vt:lpstr>
      <vt:lpstr>пр к пасп ПП4</vt:lpstr>
      <vt:lpstr>пр к ПП4</vt:lpstr>
      <vt:lpstr>пр 5 к МП</vt:lpstr>
      <vt:lpstr>пр 6 к МП</vt:lpstr>
      <vt:lpstr>пр 7 к МП</vt:lpstr>
      <vt:lpstr>пп1</vt:lpstr>
      <vt:lpstr>пп2</vt:lpstr>
      <vt:lpstr>пп3</vt:lpstr>
      <vt:lpstr>пп4</vt:lpstr>
      <vt:lpstr>'пр 5 к МП'!Заголовки_для_печати</vt:lpstr>
      <vt:lpstr>'пр 6 к МП'!Заголовки_для_печати</vt:lpstr>
      <vt:lpstr>'пр 7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к пасп ПП3'!Заголовки_для_печати</vt:lpstr>
      <vt:lpstr>'пр к пасп ПП4'!Заголовки_для_печати</vt:lpstr>
      <vt:lpstr>'пр к ПП1'!Заголовки_для_печати</vt:lpstr>
      <vt:lpstr>'пр к ПП3'!Заголовки_для_печати</vt:lpstr>
      <vt:lpstr>'пр 6 к МП'!Область_печати</vt:lpstr>
      <vt:lpstr>'пр 7 к МП'!Область_печати</vt:lpstr>
      <vt:lpstr>'пр к пасп'!Область_печати</vt:lpstr>
      <vt:lpstr>'пр к пасп ПП1'!Область_печати</vt:lpstr>
      <vt:lpstr>'пр к ПП1'!Область_печати</vt:lpstr>
      <vt:lpstr>'пр к ПП2'!Область_печати</vt:lpstr>
      <vt:lpstr>'пр к ПП3'!Область_печати</vt:lpstr>
      <vt:lpstr>'пр к ПП4'!Область_печати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Катарина Кунстман</cp:lastModifiedBy>
  <cp:lastPrinted>2018-12-05T05:22:52Z</cp:lastPrinted>
  <dcterms:created xsi:type="dcterms:W3CDTF">2016-10-20T04:37:12Z</dcterms:created>
  <dcterms:modified xsi:type="dcterms:W3CDTF">2018-12-05T05:26:36Z</dcterms:modified>
</cp:coreProperties>
</file>