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8160" tabRatio="619" activeTab="5"/>
  </bookViews>
  <sheets>
    <sheet name="ППП2-1" sheetId="1" r:id="rId1"/>
    <sheet name="ППП2-2" sheetId="2" r:id="rId2"/>
    <sheet name="ППП2-3" sheetId="3" r:id="rId3"/>
    <sheet name="ППП2-4" sheetId="4" r:id="rId4"/>
    <sheet name="ПП5" sheetId="5" r:id="rId5"/>
    <sheet name="ПП6" sheetId="6" r:id="rId6"/>
  </sheets>
  <definedNames>
    <definedName name="_xlnm.Print_Area" localSheetId="4">'ПП5'!$A$1:$L$50</definedName>
    <definedName name="_xlnm.Print_Area" localSheetId="5">'ПП6'!$A$1:$H$92</definedName>
    <definedName name="_xlnm.Print_Area" localSheetId="0">'ППП2-1'!$A$1:$M$72</definedName>
    <definedName name="_xlnm.Print_Area" localSheetId="1">'ППП2-2'!$A$2:$M$47</definedName>
    <definedName name="_xlnm.Print_Area" localSheetId="2">'ППП2-3'!$A$1:$M$33</definedName>
    <definedName name="_xlnm.Print_Area" localSheetId="3">'ППП2-4'!$A$1:$M$132</definedName>
  </definedNames>
  <calcPr fullCalcOnLoad="1"/>
</workbook>
</file>

<file path=xl/sharedStrings.xml><?xml version="1.0" encoding="utf-8"?>
<sst xmlns="http://schemas.openxmlformats.org/spreadsheetml/2006/main" count="1036" uniqueCount="320">
  <si>
    <t>№ п/п</t>
  </si>
  <si>
    <t>Наименование программы, подпрограммы</t>
  </si>
  <si>
    <t>Главный распорядитель бюджетных средств</t>
  </si>
  <si>
    <t>Код бюджетной классификации</t>
  </si>
  <si>
    <t>ГРБС</t>
  </si>
  <si>
    <t>РзПр</t>
  </si>
  <si>
    <t>ЦСР</t>
  </si>
  <si>
    <t>ВР</t>
  </si>
  <si>
    <t>Статус</t>
  </si>
  <si>
    <t>Наименование муниципальной программы, подпрограммы муниципальной программы</t>
  </si>
  <si>
    <t>Муниципальная программа</t>
  </si>
  <si>
    <t>всего расходные обязательства по программе</t>
  </si>
  <si>
    <t>в том числе по ГРБС:</t>
  </si>
  <si>
    <t>всего расходные обязательства</t>
  </si>
  <si>
    <t>Ожидаемый результат от реализации подпрограммного мероприятия (в натуральном выражении)</t>
  </si>
  <si>
    <t xml:space="preserve">Мероприятие         программы 1            </t>
  </si>
  <si>
    <t>Мероприятие       программы2</t>
  </si>
  <si>
    <t>Статус (муниципальная программа, подпрограмма, в том числе ВЦП)</t>
  </si>
  <si>
    <t>Подпрограмма 1</t>
  </si>
  <si>
    <t>всего</t>
  </si>
  <si>
    <t>в том числе:</t>
  </si>
  <si>
    <t>федеральный бюджет (*)</t>
  </si>
  <si>
    <t xml:space="preserve">В том числе </t>
  </si>
  <si>
    <t>Ответственный исполнитель, соисполнители</t>
  </si>
  <si>
    <t>бюджеты поселений(*)</t>
  </si>
  <si>
    <t>юридические лица</t>
  </si>
  <si>
    <t>краевой бюджет(*)</t>
  </si>
  <si>
    <t>районный бюджет</t>
  </si>
  <si>
    <t>х</t>
  </si>
  <si>
    <t>бюджеты поселений(**)</t>
  </si>
  <si>
    <t>(подпись)</t>
  </si>
  <si>
    <t>(ФИО)</t>
  </si>
  <si>
    <t>И.о. руководителя         _____________________</t>
  </si>
  <si>
    <t>Перечень мероприятий подпрограммы "Культурное наследие"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</si>
  <si>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"Сохранение объектов культурного наследия"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</si>
  <si>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</si>
  <si>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Управление культуры администрации Туруханского района</t>
  </si>
  <si>
    <t>244</t>
  </si>
  <si>
    <t>0801</t>
  </si>
  <si>
    <t>111</t>
  </si>
  <si>
    <t>112</t>
  </si>
  <si>
    <t>852</t>
  </si>
  <si>
    <t>ИТОГО по мероприятию 2.1</t>
  </si>
  <si>
    <t>ИТОГО по мероприятию 3.1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</si>
  <si>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</si>
  <si>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1.1</t>
  </si>
  <si>
    <t>ИТОГО по мероприятию 2.2</t>
  </si>
  <si>
    <t>ИТОГО по мероприятию 2.3</t>
  </si>
  <si>
    <t>ИТОГО по мероприятию 3.2</t>
  </si>
  <si>
    <t>ИТОГО по мероприятию 3.3</t>
  </si>
  <si>
    <t>Е.Г. Кожевников</t>
  </si>
  <si>
    <t>Перечень мероприятий подпрограммы "Искусство и народное творчество"</t>
  </si>
  <si>
    <r>
      <rPr>
        <b/>
        <sz val="12"/>
        <rFont val="Times New Roman"/>
        <family val="1"/>
      </rPr>
      <t>Цель подпрограммы</t>
    </r>
    <r>
      <rPr>
        <sz val="12"/>
        <rFont val="Times New Roman"/>
        <family val="1"/>
      </rPr>
      <t xml:space="preserve"> - Сохранение и развитие традиционной народной культуры, реализация культурных проектов, способствующих формированию и развитию единого культурного пространства Туруханского района</t>
    </r>
  </si>
  <si>
    <t>Задача 1 "Сохранение и развитие традиционной народной культуры"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</si>
  <si>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</si>
  <si>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1.2</t>
  </si>
  <si>
    <t>Задача 2 «Поддержка творческих инициатив населения и организаций культуры»</t>
  </si>
  <si>
    <t>Перечень мероприятий подпрограммы "Развитие архивного дела"</t>
  </si>
  <si>
    <t>121</t>
  </si>
  <si>
    <t>Администрация Туруханского района</t>
  </si>
  <si>
    <t>0804</t>
  </si>
  <si>
    <t>540</t>
  </si>
  <si>
    <t>Управление ЖКХ и строительства администрации Туруханского района</t>
  </si>
  <si>
    <t>241</t>
  </si>
  <si>
    <t>0113</t>
  </si>
  <si>
    <t>обеспечение сохранности не менее 3 объектов культурного наследия в год</t>
  </si>
  <si>
    <t>Развитие культуры Туруханского района</t>
  </si>
  <si>
    <t>Культурное наследие</t>
  </si>
  <si>
    <t>Подпрограмма 2</t>
  </si>
  <si>
    <t>Подпрограмма 3</t>
  </si>
  <si>
    <t>Подпрограмма 4</t>
  </si>
  <si>
    <t>Искусство и народное творчество</t>
  </si>
  <si>
    <t>Развитие архивного дела</t>
  </si>
  <si>
    <t>Обеспечение условий реализации программы</t>
  </si>
  <si>
    <t>Руководитель</t>
  </si>
  <si>
    <t>Ю.М. Тагиров</t>
  </si>
  <si>
    <t>Руководитель         _____________________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</si>
  <si>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"Создание нормативных условий хранения архивных документов"</t>
    </r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</si>
  <si>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"Оцифровка описей (перевод в электронный формат ПК "Архивный фонд")"</t>
    </r>
  </si>
  <si>
    <t>приобретение не мене 2 веб-камер для обеспечения участия муниципальных архивов в мероприятиях в режиме on-line</t>
  </si>
  <si>
    <t>ИТОГО по мероприятию 2.4</t>
  </si>
  <si>
    <t>увеличение количества  экземпляров новых изданий в расчёте на 1 тыс. человек населения, поступивших в фонды общедоступных библиотек с 268 до 392 экземпляров</t>
  </si>
  <si>
    <t>увеличение представленных (во всех формах) зрителю музейных предметов в общем количестве музейных предметов основного фонда с 22,6 до 23,2 %</t>
  </si>
  <si>
    <t>увеличение среднего числа книговыдач в расчёте на 1 тыс. человек населения на 1,5 % в год</t>
  </si>
  <si>
    <t>увеличение количества посетителей муниципальных учреждений культурно-досугового типа на 1 тыс. человек населения с 8 652 до 9 106 чел.;
сохранение числа клубных формирований на 1 тыс. человек населения на уровне 11 ед.</t>
  </si>
  <si>
    <t>увеличение единиц хранения архивных документов в нормативных условиях
 до 13,175 тыс.</t>
  </si>
  <si>
    <t>увеличение доли оцифрованных заголовков дел, введенных в ПК «Архивный фонд»  до 83,9 %</t>
  </si>
  <si>
    <t>ИТОГО по мероприятию 2.5</t>
  </si>
  <si>
    <t>ИТОГО по мероприятию 1.3</t>
  </si>
  <si>
    <t>ИТОГО по мероприятию 3.4</t>
  </si>
  <si>
    <t>ИТОГО по мероприятию 1.4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</si>
  <si>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"Комплектование библиотечного фонда подведомственных учреждений"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</si>
  <si>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Туруханского района"</t>
    </r>
  </si>
  <si>
    <t>ИТОГО по мероприятию 2.6</t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</si>
  <si>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</si>
  <si>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"Реставрация музейных экспонатов из фонда подведомственных учреждений"</t>
    </r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</si>
  <si>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"Приобретение художественных ценностей для пополнения музейного фонда  подведомственных учреждений"</t>
    </r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</si>
  <si>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</si>
  <si>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ИТОГО по мероприятию 2.7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</si>
  <si>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выставках"</t>
    </r>
  </si>
  <si>
    <r>
      <rPr>
        <u val="single"/>
        <sz val="12"/>
        <rFont val="Times New Roman"/>
        <family val="1"/>
      </rPr>
      <t>Мероприятие 2.2</t>
    </r>
    <r>
      <rPr>
        <sz val="12"/>
        <rFont val="Times New Roman"/>
        <family val="1"/>
      </rPr>
      <t xml:space="preserve"> "Субсидии бюджетам муниципальных образований на оцифровку (перевод в электронный формат ПК "Архивный фонд") описей дел муниципальных архивов края"</t>
    </r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</si>
  <si>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краевого бюджета"</t>
    </r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</si>
  <si>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"Приобретение веб-камер для муниципальных архивов в целях обеспечения их участия в мероприятиях в режиме on-line за счет местного бюджета"</t>
    </r>
  </si>
  <si>
    <r>
      <rPr>
        <u val="single"/>
        <sz val="12"/>
        <rFont val="Times New Roman"/>
        <family val="1"/>
      </rPr>
      <t>Мероприятие 2.5</t>
    </r>
    <r>
      <rPr>
        <sz val="12"/>
        <rFont val="Times New Roman"/>
        <family val="1"/>
      </rPr>
      <t xml:space="preserve"> "Оцифровка (перевод в электронный формат ПК "Архивный фонд") описей дел муниципальных архивов края"</t>
    </r>
  </si>
  <si>
    <t>2018 год</t>
  </si>
  <si>
    <t>0618119,
0610081190</t>
  </si>
  <si>
    <t>119</t>
  </si>
  <si>
    <t>129</t>
  </si>
  <si>
    <t>0618061,
0610080610</t>
  </si>
  <si>
    <t>0618065,
0610080650</t>
  </si>
  <si>
    <t>0618120,
0610081200</t>
  </si>
  <si>
    <t>0618122,
0610081220</t>
  </si>
  <si>
    <t>0618123,
0610081230</t>
  </si>
  <si>
    <t>0618302,
06100L3020</t>
  </si>
  <si>
    <t>0618121,
06100S1210</t>
  </si>
  <si>
    <t>0628061,
0620080610</t>
  </si>
  <si>
    <t>0628065,
0620080650</t>
  </si>
  <si>
    <t>0628124,
0620081240</t>
  </si>
  <si>
    <t>0638126,
0630081260</t>
  </si>
  <si>
    <t>0630000, 0630000000</t>
  </si>
  <si>
    <t>0648265, 0640082650</t>
  </si>
  <si>
    <t>0610000,  0610000000</t>
  </si>
  <si>
    <t>0620000, 0620000000</t>
  </si>
  <si>
    <t>0640000, 0640000000</t>
  </si>
  <si>
    <t>0637519,
0630075190</t>
  </si>
  <si>
    <t>0637478, 0630074780</t>
  </si>
  <si>
    <t>0638275,    0630082750</t>
  </si>
  <si>
    <t>0637479,    0630074790</t>
  </si>
  <si>
    <t>0638307,      0630083070</t>
  </si>
  <si>
    <t>0618061, 0610080610</t>
  </si>
  <si>
    <t>0618065, 0610080650</t>
  </si>
  <si>
    <t>минимальное число социокультурных проектов в области культуры, реализованных      муниципальными       учреждениями - 4</t>
  </si>
  <si>
    <t xml:space="preserve">
06100S4880</t>
  </si>
  <si>
    <t xml:space="preserve">
06100L1440</t>
  </si>
  <si>
    <t>853</t>
  </si>
  <si>
    <t>Организация туристско - рекреационных зон на территории Туруханского района</t>
  </si>
  <si>
    <t>0412</t>
  </si>
  <si>
    <t>0650074800</t>
  </si>
  <si>
    <t>к  подпрограмме "Развитие архивного дела", реализуемой в рамках муниципальной программы Туруханского района "Развитие культуры и туризма Туруханского района"</t>
  </si>
  <si>
    <t>к муниципальной программе Туруханского района "Развитие культуры и туризма Туруханского района"</t>
  </si>
  <si>
    <t>Организация туристско- рекреационных зон на территории Туруханского района</t>
  </si>
  <si>
    <t>2019 год</t>
  </si>
  <si>
    <t>2020 год</t>
  </si>
  <si>
    <t>к подпрограмме "Искусство и народное творчество", реализуемой в рамках муниципальной программы Туруханского района "Развитие культуры и туризма Туруханского района"</t>
  </si>
  <si>
    <t>ИНФОРМАЦИЯ</t>
  </si>
  <si>
    <t>Туруханского района за счет средств районного бюджета,</t>
  </si>
  <si>
    <t>в том числе средств, поступивших из бюджетов других уровней</t>
  </si>
  <si>
    <t>бюджетной системы и бюджетов государственных</t>
  </si>
  <si>
    <t>внебюджетных фондов</t>
  </si>
  <si>
    <t xml:space="preserve">о ресурсном обеспечении муниципальной программы 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</si>
  <si>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</si>
  <si>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</si>
  <si>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</si>
  <si>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</si>
  <si>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</si>
  <si>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Отдельное мероприятие</t>
  </si>
  <si>
    <t>06100R5190</t>
  </si>
  <si>
    <t>Управление культуры и молодёжной политики администрации Туруханского района</t>
  </si>
  <si>
    <t xml:space="preserve">
0620074810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</si>
  <si>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"Реализация социокультурных проектов муниципальных учреждений культуры и образовательных учреждений в области культуры"</t>
    </r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</si>
  <si>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Обеспечение деятельности подведомственных учреждений за счет прочих доходов от оказания платных услуг(работ)</t>
    </r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</si>
  <si>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"Сохарнение, возрождение и развитие народных художественных просыслов и ремесел"</t>
    </r>
  </si>
  <si>
    <t>0620083870</t>
  </si>
  <si>
    <t>к  подпрограмме "Обеспечение условий реализации программы и прочие мероприятия", реализуемой в рамках муниципальной программы Туруханского района "Развитие культуры и туризма Туруханского района"</t>
  </si>
  <si>
    <t>Перечень мероприятий подпрограммы "Обеспечение условий реализации программы и прочие мероприятия"</t>
  </si>
  <si>
    <r>
      <rPr>
        <u val="single"/>
        <sz val="12"/>
        <rFont val="Times New Roman"/>
        <family val="1"/>
      </rPr>
      <t>Мероприятие 1.1</t>
    </r>
    <r>
      <rPr>
        <sz val="12"/>
        <rFont val="Times New Roman"/>
        <family val="1"/>
      </rPr>
      <t xml:space="preserve"> "Обеспечение прав на отдых и оздоровление одаренных детей"</t>
    </r>
  </si>
  <si>
    <t>0702</t>
  </si>
  <si>
    <t>0648128,   0640081280</t>
  </si>
  <si>
    <t>число детей-участников оздоровительной детской кампании - не менее 2 чел.</t>
  </si>
  <si>
    <r>
      <rPr>
        <u val="single"/>
        <sz val="12"/>
        <rFont val="Times New Roman"/>
        <family val="1"/>
      </rPr>
      <t>Мероприятие 1.2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</si>
  <si>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0703</t>
  </si>
  <si>
    <t>охват детей образовательными услугами в области культуры не менее 16,3 % от общего количества детей в возрасте от 7 до 15 лет</t>
  </si>
  <si>
    <t>831</t>
  </si>
  <si>
    <r>
      <rPr>
        <u val="single"/>
        <sz val="12"/>
        <rFont val="Times New Roman"/>
        <family val="1"/>
      </rPr>
      <t>Мероприятие 1.3</t>
    </r>
    <r>
      <rPr>
        <sz val="12"/>
        <rFont val="Times New Roman"/>
        <family val="1"/>
      </rPr>
      <t xml:space="preserve"> "Обеспечение деятельности подведомственных учреждений за счет прочих доходов от оказания платных услуг (работ)"</t>
    </r>
  </si>
  <si>
    <t>0648065,
0640080650</t>
  </si>
  <si>
    <r>
      <rPr>
        <u val="single"/>
        <sz val="12"/>
        <rFont val="Times New Roman"/>
        <family val="1"/>
      </rPr>
      <t>Мероприятие 1.4</t>
    </r>
    <r>
      <rPr>
        <sz val="12"/>
        <rFont val="Times New Roman"/>
        <family val="1"/>
      </rPr>
      <t xml:space="preserve"> "Поддержка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олимпиадах"</t>
    </r>
  </si>
  <si>
    <t>0648129,
0640081290</t>
  </si>
  <si>
    <t>увеличение доли детей, привлекаемых к участию в творческих мероприятиях, в общем числе детей до 389,4 %</t>
  </si>
  <si>
    <t xml:space="preserve">Мероприятие 1.5 "Реализация социокультурных проектов муниципальными учреждениями культуры и образовательными организациями в области культуры </t>
  </si>
  <si>
    <t>06400S4810</t>
  </si>
  <si>
    <t>ИТОГО по мероприятию 1.5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</si>
  <si>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"Денежное поощрение творческих работников, работников организаций культуры и образовательных учреждений в области культуры, талантливой молодежи в сфере культуры и искусства"</t>
    </r>
  </si>
  <si>
    <t>0648130,
0640081300</t>
  </si>
  <si>
    <t>350</t>
  </si>
  <si>
    <t>число получателей денежных поощрений в сфере культуры и искусства - не менее 10 чел.</t>
  </si>
  <si>
    <t>06400R5190</t>
  </si>
  <si>
    <r>
      <rPr>
        <u val="single"/>
        <sz val="12"/>
        <rFont val="Times New Roman"/>
        <family val="1"/>
      </rPr>
      <t>Мероприятие 2.1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</si>
  <si>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повышении фондов оплаты труда муниципальных учреждений культуры и дополнительного образования детей на 10% с 1 января 2014</t>
  </si>
  <si>
    <r>
      <rPr>
        <u val="single"/>
        <sz val="12"/>
        <rFont val="Times New Roman"/>
        <family val="1"/>
      </rPr>
      <t>Мероприятие 2.3</t>
    </r>
    <r>
      <rPr>
        <sz val="12"/>
        <rFont val="Times New Roman"/>
        <family val="1"/>
      </rPr>
      <t xml:space="preserve"> "Государственная поддержка муниципальных учреждений культуры</t>
    </r>
  </si>
  <si>
    <t>0645148, 0640051480</t>
  </si>
  <si>
    <t>число получателей денежных поощрений в сфере культуры и искусства - не менее 5 чел.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</si>
  <si>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"Оснащение муниципальных музеев и библиотек Туруханского района компьютерным оборудованием и программным обеспечением, в том числе для ведения электронного каталога"</t>
    </r>
  </si>
  <si>
    <t>0648131,
0640081310</t>
  </si>
  <si>
    <t>увеличение количества библиографических записей в электронных каталогах общедоступных библиотек ежегодно не менее чем на 5 тыс. записей</t>
  </si>
  <si>
    <r>
      <rPr>
        <u val="single"/>
        <sz val="12"/>
        <rFont val="Times New Roman"/>
        <family val="1"/>
      </rPr>
      <t>Мероприятие 3.2</t>
    </r>
    <r>
      <rPr>
        <sz val="12"/>
        <rFont val="Times New Roman"/>
        <family val="1"/>
      </rPr>
      <t xml:space="preserve"> "Субсидии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каталога"</t>
    </r>
  </si>
  <si>
    <t>0647485, 0640074850</t>
  </si>
  <si>
    <t>0647489, 0640074890</t>
  </si>
  <si>
    <t>0640074490</t>
  </si>
  <si>
    <r>
      <rPr>
        <u val="single"/>
        <sz val="12"/>
        <rFont val="Times New Roman"/>
        <family val="1"/>
      </rPr>
      <t>Мероприятие 3.3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оцифровки"</t>
    </r>
  </si>
  <si>
    <t>0648132,
0640081320</t>
  </si>
  <si>
    <t>увеличение доли библиотек, подключенных к сети Интернет, в общем количестве общедоступных библиотек до 64 %</t>
  </si>
  <si>
    <r>
      <rPr>
        <u val="single"/>
        <sz val="12"/>
        <rFont val="Times New Roman"/>
        <family val="1"/>
      </rPr>
      <t>Мероприятие 3.4</t>
    </r>
    <r>
      <rPr>
        <sz val="12"/>
        <rFont val="Times New Roman"/>
        <family val="1"/>
      </rPr>
      <t xml:space="preserve"> "Подключение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бюджета"</t>
    </r>
  </si>
  <si>
    <t>0645146, 0640051460</t>
  </si>
  <si>
    <t>0640055190</t>
  </si>
  <si>
    <r>
      <rPr>
        <u val="single"/>
        <sz val="12"/>
        <rFont val="Times New Roman"/>
        <family val="1"/>
      </rPr>
      <t>Мероприятие 3.1</t>
    </r>
    <r>
      <rPr>
        <sz val="12"/>
        <rFont val="Times New Roman"/>
        <family val="1"/>
      </rPr>
      <t xml:space="preserve"> "Информатизация учреждений культуры, в т.ч. приобретение оборудования, программного обеспечения, создание интернет-сайтов"</t>
    </r>
  </si>
  <si>
    <t>0648133,
0640081330</t>
  </si>
  <si>
    <t>создание не менее 5 интернет-сайтов учреждений культуры и дополнительного образования</t>
  </si>
  <si>
    <r>
      <rPr>
        <u val="single"/>
        <sz val="11"/>
        <rFont val="Times New Roman"/>
        <family val="1"/>
      </rPr>
      <t>Мероприятие 4.1</t>
    </r>
    <r>
      <rPr>
        <sz val="11"/>
        <rFont val="Times New Roman"/>
        <family val="1"/>
      </rPr>
      <t xml:space="preserve"> Обеспечение развития и укрепления материально-технической базы муниципальных домов культуры, поддержка творческой деятельности</t>
    </r>
  </si>
  <si>
    <t>06400S8400</t>
  </si>
  <si>
    <t>оснащение основными средствами и материальными запасами не менее 2 учреждений культуры в год</t>
  </si>
  <si>
    <t>06400R5580</t>
  </si>
  <si>
    <t>06400R4670</t>
  </si>
  <si>
    <t>ИТОГО по мероприятию 4.1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</si>
  <si>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"Обеспечение муниципальных  учреждений культуры современными оборудованием  для безопасности, проведение работ по совершенствованию обеспечения уровня безопасности учреждений, посетителей и сотрудников"</t>
    </r>
  </si>
  <si>
    <t>ИТОГО по мероприятию 4.2</t>
  </si>
  <si>
    <r>
      <rPr>
        <u val="single"/>
        <sz val="12"/>
        <rFont val="Times New Roman"/>
        <family val="1"/>
      </rPr>
      <t>Мероприятие 4.3</t>
    </r>
    <r>
      <rPr>
        <sz val="12"/>
        <rFont val="Times New Roman"/>
        <family val="1"/>
      </rPr>
      <t xml:space="preserve"> "Строительство, реконструкция зданий учреждений культуры   и образовательных учреждений  в области культуры"</t>
    </r>
  </si>
  <si>
    <t>ИТОГО по мероприятию 4.3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</si>
  <si>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"Капитальный ремонт и реконструкция зданий и помещений муниципальных учреждений культуры и образовательных учреждений в области культуры, выполнение мероприятий по повышению пожарной и террористической безопасности учреждений, осуществляемых в процессе капитального ремонта и реконструкции зданий и помещений"</t>
    </r>
  </si>
  <si>
    <t>247</t>
  </si>
  <si>
    <t>0648135, 0640081350</t>
  </si>
  <si>
    <t>243</t>
  </si>
  <si>
    <t>капитальный ремонт КДЦ "Заполярье" п.Светлогорск</t>
  </si>
  <si>
    <t>в т.ч. КДЦ "Заполярье" в п.Светлогорск (ремонт)</t>
  </si>
  <si>
    <t>0648265</t>
  </si>
  <si>
    <r>
      <rPr>
        <u val="single"/>
        <sz val="12"/>
        <rFont val="Times New Roman"/>
        <family val="1"/>
      </rPr>
      <t>Мероприятие 4.2</t>
    </r>
    <r>
      <rPr>
        <sz val="12"/>
        <rFont val="Times New Roman"/>
        <family val="1"/>
      </rPr>
      <t xml:space="preserve"> "Приобретение специального оборудования для муниципальных учреждений культуры"</t>
    </r>
  </si>
  <si>
    <t>06400S4670</t>
  </si>
  <si>
    <t>приобретение специального оборудования для муниципальных учреждений культуры</t>
  </si>
  <si>
    <r>
      <rPr>
        <u val="single"/>
        <sz val="12"/>
        <rFont val="Times New Roman"/>
        <family val="1"/>
      </rPr>
      <t>Мероприятие 4.6</t>
    </r>
    <r>
      <rPr>
        <sz val="12"/>
        <rFont val="Times New Roman"/>
        <family val="1"/>
      </rPr>
      <t xml:space="preserve"> "Оснащение межпоселенческих учреждений культуры клубного типа материально-техническими ресурсами, необходимыми для производства культурного продукта и обеспечения социально-культурной деятельности  и автотранспортом"</t>
    </r>
  </si>
  <si>
    <t>ИТОГО по мероприятию 4.6</t>
  </si>
  <si>
    <r>
      <rPr>
        <u val="single"/>
        <sz val="12"/>
        <rFont val="Times New Roman"/>
        <family val="1"/>
      </rPr>
      <t>Мероприятие 4.7</t>
    </r>
    <r>
      <rPr>
        <sz val="12"/>
        <rFont val="Times New Roman"/>
        <family val="1"/>
      </rPr>
      <t xml:space="preserve"> "Оснащение специальным оборудованием муниципальных учреждений культурно-досугового типа, в структуре которых действуют клубные формирования по художественным ремеслам и декоративно-прикладному творчеству"</t>
    </r>
  </si>
  <si>
    <t>ИТОГО по мероприятию 4.7</t>
  </si>
  <si>
    <r>
      <rPr>
        <u val="single"/>
        <sz val="12"/>
        <rFont val="Times New Roman"/>
        <family val="1"/>
      </rPr>
      <t>Мероприятие 4.4</t>
    </r>
    <r>
      <rPr>
        <sz val="12"/>
        <rFont val="Times New Roman"/>
        <family val="1"/>
      </rPr>
      <t xml:space="preserve">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  </r>
  </si>
  <si>
    <t>0648137, 0640081370</t>
  </si>
  <si>
    <t>капитальный ремонт здания СДК д.Горошиха</t>
  </si>
  <si>
    <t>ИТОГО по мероприятию 4.4</t>
  </si>
  <si>
    <r>
      <rPr>
        <u val="single"/>
        <sz val="12"/>
        <rFont val="Times New Roman"/>
        <family val="1"/>
      </rPr>
      <t>Мероприятие 4.9</t>
    </r>
    <r>
      <rPr>
        <sz val="12"/>
        <rFont val="Times New Roman"/>
        <family val="1"/>
      </rPr>
      <t xml:space="preserve"> "Строительство зданий учреждений культурно-досугового типа в сельских населенных пунктах (включая привязку типовых проектов)"</t>
    </r>
  </si>
  <si>
    <t>ИТОГО по мероприятию 4.9</t>
  </si>
  <si>
    <t>Мероприятие 4.3 "Софинансирование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культуры"</t>
  </si>
  <si>
    <t>06400S4490</t>
  </si>
  <si>
    <t>Капитальный ремонт сельского Дома культуры п. Келлог</t>
  </si>
  <si>
    <r>
      <rPr>
        <u val="single"/>
        <sz val="12"/>
        <rFont val="Times New Roman"/>
        <family val="1"/>
      </rPr>
      <t>Мероприятие 5.1</t>
    </r>
    <r>
      <rPr>
        <sz val="12"/>
        <rFont val="Times New Roman"/>
        <family val="1"/>
      </rPr>
      <t xml:space="preserve"> "Руководство и управление в сфере установленных функций"</t>
    </r>
  </si>
  <si>
    <t>0648046,
0640080460</t>
  </si>
  <si>
    <t>обеспечение реализации муниципальной программы не менее, чем на 95%</t>
  </si>
  <si>
    <t>122</t>
  </si>
  <si>
    <t>ИТОГО по мероприятию 5.1</t>
  </si>
  <si>
    <r>
      <rPr>
        <u val="single"/>
        <sz val="12"/>
        <rFont val="Times New Roman"/>
        <family val="1"/>
      </rPr>
      <t>Мероприятие 5.2</t>
    </r>
    <r>
      <rPr>
        <sz val="12"/>
        <rFont val="Times New Roman"/>
        <family val="1"/>
      </rPr>
      <t xml:space="preserve"> "Обеспечение деятельности подведомственных учреждений"</t>
    </r>
  </si>
  <si>
    <t>ИТОГО по мероприятию 5.2</t>
  </si>
  <si>
    <t>Приложение № 2</t>
  </si>
  <si>
    <t>2021 год</t>
  </si>
  <si>
    <t>Приложение № 7</t>
  </si>
  <si>
    <t>0640083930</t>
  </si>
  <si>
    <t>Капитальный ремонт крыши здания сельского Дома культуры с. Курейка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</si>
  <si>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Сохранение и эффективное использование культурного наследия Туруханского района</t>
    </r>
  </si>
  <si>
    <t>Задача 1: Обеспечить сохранность объектов культурного наследия</t>
  </si>
  <si>
    <t>Задача 2: Развивать библиотечное дело</t>
  </si>
  <si>
    <t>Задача 3: Развивать музейное дело</t>
  </si>
  <si>
    <t>8894,753</t>
  </si>
  <si>
    <t>1035,100</t>
  </si>
  <si>
    <t>2695,834</t>
  </si>
  <si>
    <t>1797,216</t>
  </si>
  <si>
    <t>2,000</t>
  </si>
  <si>
    <t xml:space="preserve">
06100L5190</t>
  </si>
  <si>
    <t xml:space="preserve">
06100S5190</t>
  </si>
  <si>
    <t>1335,370</t>
  </si>
  <si>
    <t>24072,735</t>
  </si>
  <si>
    <t>Цель подпрограммы: Обеспечение сохранности документов Архивного фонда Российской Федерации и других архивных документов, хранящихся в  муниципальном  архиве Туруханского района</t>
  </si>
  <si>
    <t>Задача 1 Модернизировать материально-техническую базу муниципального архива Туруханского района для создания нормативных условий хранения архивных документов,  исключающих их хищение и утрату</t>
  </si>
  <si>
    <t>Задача 2 Формировать современную информационно-технологическую инфраструктуру</t>
  </si>
  <si>
    <r>
      <rPr>
        <b/>
        <sz val="12"/>
        <rFont val="Times New Roman"/>
        <family val="1"/>
      </rPr>
      <t>Цель подпрограммы:</t>
    </r>
    <r>
      <rPr>
        <sz val="12"/>
        <rFont val="Times New Roman"/>
        <family val="1"/>
      </rPr>
      <t xml:space="preserve"> Создание условий для устойчивого развития отрасли «культура»</t>
    </r>
  </si>
  <si>
    <t>Задача 2 Подпрограммы: Поддержать творческих работников</t>
  </si>
  <si>
    <t>Задача 3 Подпрограммы: Внедрять информационно-коммуникационные технологии в отрасли «культура», развивать информационные ресурсы</t>
  </si>
  <si>
    <t>Задача 1 подпрограммы: Развивать систему непрерывного профессионального образования в области культуры</t>
  </si>
  <si>
    <t>Задача 4 Подпрограммы: Развивать инфраструктуру отрасли «культура»</t>
  </si>
  <si>
    <t>Задача 5 Подпрограммы: Обеспечить эффективное управление отрасли "культура"</t>
  </si>
  <si>
    <t>Приложение № 6</t>
  </si>
  <si>
    <t>Итого на 2019-2021 годы</t>
  </si>
  <si>
    <t>0707</t>
  </si>
  <si>
    <t>0620084010</t>
  </si>
  <si>
    <t>0610084010</t>
  </si>
  <si>
    <t xml:space="preserve"> </t>
  </si>
  <si>
    <t>к подпрограмме "Культурное наследие", реализуемой в рамках муниципальной программы Туруханского района "Развитие культуры и туризма Туруханского района"</t>
  </si>
  <si>
    <t>Приложение № 1</t>
  </si>
  <si>
    <t>к постановлению</t>
  </si>
  <si>
    <t>администрации Туруханского района</t>
  </si>
  <si>
    <t>Приложение № 3</t>
  </si>
  <si>
    <t>Приложение № 4</t>
  </si>
  <si>
    <t>Приложение № 5</t>
  </si>
  <si>
    <t>Управление культуры администрации Туруханского района (МКУК "Библиотека г. Игарки")</t>
  </si>
  <si>
    <t>Управление культуры администрации Туруханского района (МКУК "ТМЦИБС")</t>
  </si>
  <si>
    <t>Управление культуры администрации Туруханского района (МКУК "Краеведческий музей")</t>
  </si>
  <si>
    <t>611</t>
  </si>
  <si>
    <t>Управление культуры и молодёжной политики администрации Туруханского района (МККДУ "РДК")</t>
  </si>
  <si>
    <t>Управление культуры и молодёжной политики администрации Туруханского района (МКУК "ДК и досуга г. Игарки")</t>
  </si>
  <si>
    <t xml:space="preserve">Управление культуры и молодёжной политики администрации Туруханского района </t>
  </si>
  <si>
    <t>0648061,
0640080610 (ДШИ, ДМШ)</t>
  </si>
  <si>
    <t>0640080610 (УК)</t>
  </si>
  <si>
    <t>+</t>
  </si>
  <si>
    <t>0648061,
0640080610 (МКУ "ЦБ учр культ")</t>
  </si>
  <si>
    <t>0640084010 (МКУ "ЦБ учр культ")</t>
  </si>
  <si>
    <t>0640074880</t>
  </si>
  <si>
    <r>
      <rPr>
        <u val="single"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 для обеспечения софинансирования"</t>
    </r>
  </si>
  <si>
    <t>Мероприятие 2.6 "Комплектование книжных фондов библиотек муниципальных образований Красноярского края" за счёт средств краевого бюджета</t>
  </si>
  <si>
    <r>
      <rPr>
        <u val="single"/>
        <sz val="12"/>
        <rFont val="Times New Roman"/>
        <family val="1"/>
      </rPr>
      <t>Мероприятие 2.7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федерального бюджета"</t>
    </r>
  </si>
  <si>
    <r>
      <rPr>
        <u val="single"/>
        <sz val="12"/>
        <rFont val="Times New Roman"/>
        <family val="1"/>
      </rPr>
      <t>Мероприятие 2.8</t>
    </r>
    <r>
      <rPr>
        <sz val="12"/>
        <rFont val="Times New Roman"/>
        <family val="1"/>
      </rPr>
      <t xml:space="preserve"> "Комплектование книжных фондов библиотек муниципальных образований края за счет средств местного бюджета"</t>
    </r>
  </si>
  <si>
    <t>0610074880</t>
  </si>
  <si>
    <t>ИТОГО по мероприятию 2.8</t>
  </si>
  <si>
    <t>Задача 6 Подпрограммы: Поддержка творческих инициатив населения и организаций культуры</t>
  </si>
  <si>
    <r>
      <rPr>
        <u val="single"/>
        <sz val="12"/>
        <rFont val="Times New Roman"/>
        <family val="1"/>
      </rPr>
      <t>Мероприятие 6.1</t>
    </r>
    <r>
      <rPr>
        <sz val="12"/>
        <rFont val="Times New Roman"/>
        <family val="1"/>
      </rPr>
      <t xml:space="preserve"> ""Реализация социокультурных проектов муниципальными учреждениями культуры и образовательными оранизациями в области культуры"</t>
    </r>
  </si>
  <si>
    <t>0640074810</t>
  </si>
  <si>
    <t>минимальное число социокультурных проектов в области культуры, реализованных муниципальными учреждениями - 4</t>
  </si>
  <si>
    <t>064А174840</t>
  </si>
  <si>
    <t>ИТОГО по мероприятию 4.5</t>
  </si>
  <si>
    <t>Мероприятие 4.6 "Разработка и корректировка проектно-сметной документации, капитальный ремонт и реконструкция зданий и помещений сельских учреждений культуры, в том числе включающие в себя выполнение мероприятий по обеспечению пожарной безопасности"</t>
  </si>
  <si>
    <t>064S174840</t>
  </si>
  <si>
    <t>Мероприятие 4.4 "Создание (реконструкция) и капитальный ремонт культурно - досуговых учреждений в сельской местности" за счет средств краевого бюджета</t>
  </si>
  <si>
    <t>Мероприятие 4.5 "Софинансирование на создание (реконструкцию) и капитальный ремонт культурно - досуговых учреждений в сельской местности" за счёт средств местного бюдета</t>
  </si>
  <si>
    <t>ИТОГО по мероприятию 6.1</t>
  </si>
  <si>
    <t xml:space="preserve">от 17.07.2019 № 596-п </t>
  </si>
  <si>
    <t xml:space="preserve">от 17.07.2019 № 596 -п </t>
  </si>
  <si>
    <t>от 17.07.2019  № 596 -п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</si>
</sst>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0.0%"/>
    <numFmt numFmtId="196" formatCode="[$-FC19]d\ mmmm\ yyyy\ &quot;г.&quot;"/>
    <numFmt numFmtId="197" formatCode="0.000"/>
    <numFmt numFmtId="198" formatCode="#,##0.0000"/>
    <numFmt numFmtId="199" formatCode="0.0000"/>
    <numFmt numFmtId="200" formatCode="#,##0.00000"/>
  </numFmts>
  <fonts count="53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2"/>
    </font>
    <font>
      <sz val="18"/>
      <name val="Times New Roman"/>
      <family val="1"/>
    </font>
    <font>
      <u val="single"/>
      <sz val="11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center" vertical="center" wrapText="1"/>
    </xf>
    <xf numFmtId="192" fontId="1" fillId="0" borderId="0" xfId="0" applyNumberFormat="1" applyFont="1" applyBorder="1" applyAlignment="1">
      <alignment horizontal="center" vertical="center" wrapText="1"/>
    </xf>
    <xf numFmtId="192" fontId="1" fillId="0" borderId="0" xfId="0" applyNumberFormat="1" applyFont="1" applyAlignment="1">
      <alignment horizontal="right"/>
    </xf>
    <xf numFmtId="192" fontId="1" fillId="0" borderId="0" xfId="0" applyNumberFormat="1" applyFont="1" applyBorder="1" applyAlignment="1">
      <alignment horizontal="right" vertical="center"/>
    </xf>
    <xf numFmtId="192" fontId="1" fillId="0" borderId="0" xfId="0" applyNumberFormat="1" applyFont="1" applyAlignment="1">
      <alignment horizontal="right" vertical="center" wrapText="1"/>
    </xf>
    <xf numFmtId="192" fontId="1" fillId="0" borderId="0" xfId="0" applyNumberFormat="1" applyFont="1" applyBorder="1" applyAlignment="1">
      <alignment horizontal="right" vertical="center" wrapText="1"/>
    </xf>
    <xf numFmtId="192" fontId="3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0" xfId="0" applyNumberFormat="1" applyFont="1" applyAlignment="1">
      <alignment horizontal="left" vertical="center" wrapText="1"/>
    </xf>
    <xf numFmtId="192" fontId="1" fillId="0" borderId="0" xfId="0" applyNumberFormat="1" applyFont="1" applyAlignment="1">
      <alignment/>
    </xf>
    <xf numFmtId="192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/>
    </xf>
    <xf numFmtId="194" fontId="1" fillId="0" borderId="10" xfId="0" applyNumberFormat="1" applyFont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right" vertical="center"/>
    </xf>
    <xf numFmtId="192" fontId="3" fillId="32" borderId="0" xfId="0" applyNumberFormat="1" applyFont="1" applyFill="1" applyAlignment="1">
      <alignment horizontal="right"/>
    </xf>
    <xf numFmtId="192" fontId="1" fillId="32" borderId="0" xfId="0" applyNumberFormat="1" applyFont="1" applyFill="1" applyAlignment="1">
      <alignment horizontal="right"/>
    </xf>
    <xf numFmtId="192" fontId="1" fillId="32" borderId="0" xfId="0" applyNumberFormat="1" applyFont="1" applyFill="1" applyBorder="1" applyAlignment="1">
      <alignment horizontal="right" vertical="center"/>
    </xf>
    <xf numFmtId="192" fontId="1" fillId="32" borderId="0" xfId="0" applyNumberFormat="1" applyFont="1" applyFill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49" fontId="1" fillId="32" borderId="0" xfId="0" applyNumberFormat="1" applyFont="1" applyFill="1" applyAlignment="1">
      <alignment/>
    </xf>
    <xf numFmtId="49" fontId="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19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194" fontId="1" fillId="0" borderId="10" xfId="0" applyNumberFormat="1" applyFont="1" applyFill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right" vertical="center"/>
    </xf>
    <xf numFmtId="194" fontId="1" fillId="0" borderId="10" xfId="0" applyNumberFormat="1" applyFont="1" applyFill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194" fontId="1" fillId="0" borderId="0" xfId="0" applyNumberFormat="1" applyFont="1" applyAlignment="1">
      <alignment horizontal="right"/>
    </xf>
    <xf numFmtId="194" fontId="1" fillId="0" borderId="0" xfId="0" applyNumberFormat="1" applyFont="1" applyBorder="1" applyAlignment="1">
      <alignment horizontal="right" vertical="center" wrapText="1"/>
    </xf>
    <xf numFmtId="194" fontId="1" fillId="0" borderId="0" xfId="0" applyNumberFormat="1" applyFont="1" applyAlignment="1">
      <alignment horizontal="center" vertical="center" wrapText="1"/>
    </xf>
    <xf numFmtId="192" fontId="9" fillId="0" borderId="0" xfId="0" applyNumberFormat="1" applyFont="1" applyAlignment="1">
      <alignment horizontal="right" vertical="center" wrapText="1"/>
    </xf>
    <xf numFmtId="194" fontId="9" fillId="0" borderId="0" xfId="0" applyNumberFormat="1" applyFont="1" applyAlignment="1">
      <alignment horizontal="right" vertical="center"/>
    </xf>
    <xf numFmtId="194" fontId="9" fillId="0" borderId="0" xfId="0" applyNumberFormat="1" applyFont="1" applyAlignment="1">
      <alignment horizontal="right" vertical="center" wrapText="1"/>
    </xf>
    <xf numFmtId="197" fontId="9" fillId="0" borderId="0" xfId="57" applyNumberFormat="1" applyFont="1" applyAlignment="1">
      <alignment horizontal="right"/>
    </xf>
    <xf numFmtId="194" fontId="9" fillId="0" borderId="0" xfId="0" applyNumberFormat="1" applyFont="1" applyAlignment="1">
      <alignment horizontal="right"/>
    </xf>
    <xf numFmtId="192" fontId="9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vertical="center" wrapText="1"/>
    </xf>
    <xf numFmtId="192" fontId="9" fillId="0" borderId="0" xfId="0" applyNumberFormat="1" applyFont="1" applyBorder="1" applyAlignment="1">
      <alignment horizontal="right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/>
    </xf>
    <xf numFmtId="192" fontId="9" fillId="32" borderId="0" xfId="0" applyNumberFormat="1" applyFont="1" applyFill="1" applyBorder="1" applyAlignment="1">
      <alignment horizontal="right" vertical="center" wrapText="1"/>
    </xf>
    <xf numFmtId="194" fontId="9" fillId="32" borderId="0" xfId="0" applyNumberFormat="1" applyFont="1" applyFill="1" applyAlignment="1">
      <alignment horizontal="right" vertical="center" wrapText="1"/>
    </xf>
    <xf numFmtId="192" fontId="9" fillId="32" borderId="0" xfId="0" applyNumberFormat="1" applyFont="1" applyFill="1" applyAlignment="1">
      <alignment horizontal="right"/>
    </xf>
    <xf numFmtId="194" fontId="9" fillId="32" borderId="0" xfId="0" applyNumberFormat="1" applyFont="1" applyFill="1" applyAlignment="1">
      <alignment horizontal="right"/>
    </xf>
    <xf numFmtId="194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/>
    </xf>
    <xf numFmtId="192" fontId="1" fillId="0" borderId="14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Alignment="1">
      <alignment horizontal="center" vertical="center" wrapText="1"/>
    </xf>
    <xf numFmtId="194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97" fontId="10" fillId="0" borderId="0" xfId="0" applyNumberFormat="1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right" vertical="center"/>
    </xf>
    <xf numFmtId="197" fontId="1" fillId="0" borderId="10" xfId="0" applyNumberFormat="1" applyFont="1" applyFill="1" applyBorder="1" applyAlignment="1">
      <alignment horizontal="right" vertical="center"/>
    </xf>
    <xf numFmtId="197" fontId="4" fillId="0" borderId="10" xfId="0" applyNumberFormat="1" applyFont="1" applyFill="1" applyBorder="1" applyAlignment="1">
      <alignment horizontal="right" vertical="center"/>
    </xf>
    <xf numFmtId="197" fontId="1" fillId="0" borderId="12" xfId="0" applyNumberFormat="1" applyFont="1" applyFill="1" applyBorder="1" applyAlignment="1">
      <alignment horizontal="right" vertical="center"/>
    </xf>
    <xf numFmtId="197" fontId="4" fillId="32" borderId="10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197" fontId="1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94" fontId="1" fillId="33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94" fontId="4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194" fontId="1" fillId="0" borderId="18" xfId="0" applyNumberFormat="1" applyFont="1" applyFill="1" applyBorder="1" applyAlignment="1">
      <alignment horizontal="right" vertical="center"/>
    </xf>
    <xf numFmtId="194" fontId="1" fillId="0" borderId="18" xfId="0" applyNumberFormat="1" applyFont="1" applyFill="1" applyBorder="1" applyAlignment="1">
      <alignment horizontal="right" vertical="center" wrapText="1"/>
    </xf>
    <xf numFmtId="194" fontId="1" fillId="0" borderId="19" xfId="0" applyNumberFormat="1" applyFont="1" applyFill="1" applyBorder="1" applyAlignment="1">
      <alignment horizontal="right" vertical="center"/>
    </xf>
    <xf numFmtId="194" fontId="1" fillId="0" borderId="19" xfId="0" applyNumberFormat="1" applyFont="1" applyFill="1" applyBorder="1" applyAlignment="1">
      <alignment horizontal="right" vertical="center" wrapText="1"/>
    </xf>
    <xf numFmtId="194" fontId="1" fillId="0" borderId="20" xfId="0" applyNumberFormat="1" applyFont="1" applyFill="1" applyBorder="1" applyAlignment="1">
      <alignment horizontal="right" vertical="center"/>
    </xf>
    <xf numFmtId="194" fontId="1" fillId="0" borderId="21" xfId="0" applyNumberFormat="1" applyFont="1" applyFill="1" applyBorder="1" applyAlignment="1">
      <alignment horizontal="right" vertical="center"/>
    </xf>
    <xf numFmtId="194" fontId="1" fillId="0" borderId="22" xfId="0" applyNumberFormat="1" applyFont="1" applyFill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94" fontId="1" fillId="0" borderId="14" xfId="0" applyNumberFormat="1" applyFont="1" applyFill="1" applyBorder="1" applyAlignment="1">
      <alignment horizontal="right" vertical="center"/>
    </xf>
    <xf numFmtId="194" fontId="1" fillId="0" borderId="25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0" xfId="0" applyNumberFormat="1" applyFont="1" applyAlignment="1">
      <alignment horizontal="center" vertical="center" wrapText="1"/>
    </xf>
    <xf numFmtId="192" fontId="12" fillId="0" borderId="0" xfId="0" applyNumberFormat="1" applyFont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4" fontId="3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 wrapText="1"/>
    </xf>
    <xf numFmtId="194" fontId="1" fillId="0" borderId="13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 wrapText="1"/>
    </xf>
    <xf numFmtId="194" fontId="51" fillId="0" borderId="0" xfId="0" applyNumberFormat="1" applyFont="1" applyAlignment="1">
      <alignment/>
    </xf>
    <xf numFmtId="49" fontId="9" fillId="33" borderId="0" xfId="0" applyNumberFormat="1" applyFont="1" applyFill="1" applyAlignment="1">
      <alignment horizontal="center" vertical="center" wrapText="1"/>
    </xf>
    <xf numFmtId="194" fontId="1" fillId="0" borderId="14" xfId="0" applyNumberFormat="1" applyFont="1" applyFill="1" applyBorder="1" applyAlignment="1">
      <alignment horizontal="right" vertical="center" wrapText="1"/>
    </xf>
    <xf numFmtId="194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26" xfId="0" applyNumberFormat="1" applyFont="1" applyFill="1" applyBorder="1" applyAlignment="1">
      <alignment horizontal="right" vertical="center"/>
    </xf>
    <xf numFmtId="49" fontId="1" fillId="32" borderId="16" xfId="0" applyNumberFormat="1" applyFont="1" applyFill="1" applyBorder="1" applyAlignment="1">
      <alignment horizontal="right" vertical="center"/>
    </xf>
    <xf numFmtId="49" fontId="1" fillId="32" borderId="12" xfId="0" applyNumberFormat="1" applyFont="1" applyFill="1" applyBorder="1" applyAlignment="1">
      <alignment horizontal="right" vertical="center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94" fontId="1" fillId="0" borderId="0" xfId="0" applyNumberFormat="1" applyFont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right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92" fontId="1" fillId="0" borderId="0" xfId="0" applyNumberFormat="1" applyFont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32" borderId="27" xfId="0" applyNumberFormat="1" applyFont="1" applyFill="1" applyBorder="1" applyAlignment="1">
      <alignment horizontal="center" vertical="center" wrapText="1"/>
    </xf>
    <xf numFmtId="49" fontId="1" fillId="32" borderId="28" xfId="0" applyNumberFormat="1" applyFont="1" applyFill="1" applyBorder="1" applyAlignment="1">
      <alignment horizontal="center" vertical="center" wrapText="1"/>
    </xf>
    <xf numFmtId="49" fontId="1" fillId="32" borderId="2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32" borderId="0" xfId="0" applyFont="1" applyFill="1" applyAlignment="1">
      <alignment horizontal="center"/>
    </xf>
    <xf numFmtId="0" fontId="1" fillId="32" borderId="15" xfId="0" applyFont="1" applyFill="1" applyBorder="1" applyAlignment="1">
      <alignment horizontal="left" vertical="center" wrapText="1"/>
    </xf>
    <xf numFmtId="192" fontId="1" fillId="32" borderId="16" xfId="0" applyNumberFormat="1" applyFont="1" applyFill="1" applyBorder="1" applyAlignment="1">
      <alignment horizontal="center"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4" fontId="9" fillId="0" borderId="0" xfId="0" applyNumberFormat="1" applyFont="1" applyAlignment="1">
      <alignment horizontal="righ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/>
    </xf>
    <xf numFmtId="192" fontId="1" fillId="0" borderId="16" xfId="0" applyNumberFormat="1" applyFont="1" applyBorder="1" applyAlignment="1">
      <alignment horizontal="center" vertical="center" wrapText="1"/>
    </xf>
    <xf numFmtId="192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left" vertical="center"/>
    </xf>
    <xf numFmtId="49" fontId="1" fillId="0" borderId="36" xfId="0" applyNumberFormat="1" applyFont="1" applyFill="1" applyBorder="1" applyAlignment="1">
      <alignment horizontal="left" vertical="center"/>
    </xf>
    <xf numFmtId="49" fontId="1" fillId="0" borderId="37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42" xfId="0" applyNumberFormat="1" applyFont="1" applyFill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94" fontId="1" fillId="0" borderId="10" xfId="0" applyNumberFormat="1" applyFont="1" applyFill="1" applyBorder="1" applyAlignment="1">
      <alignment horizontal="right" vertical="center"/>
    </xf>
    <xf numFmtId="194" fontId="1" fillId="0" borderId="14" xfId="0" applyNumberFormat="1" applyFont="1" applyFill="1" applyBorder="1" applyAlignment="1">
      <alignment horizontal="right" vertical="center"/>
    </xf>
    <xf numFmtId="194" fontId="1" fillId="0" borderId="15" xfId="0" applyNumberFormat="1" applyFont="1" applyFill="1" applyBorder="1" applyAlignment="1">
      <alignment horizontal="right" vertical="center"/>
    </xf>
    <xf numFmtId="194" fontId="1" fillId="0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192" fontId="1" fillId="0" borderId="0" xfId="0" applyNumberFormat="1" applyFont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92" fontId="1" fillId="0" borderId="4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92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8"/>
  <sheetViews>
    <sheetView zoomScale="75" zoomScaleNormal="75" zoomScaleSheetLayoutView="75" zoomScalePageLayoutView="0" workbookViewId="0" topLeftCell="A1">
      <selection activeCell="J5" sqref="J5:M5"/>
    </sheetView>
  </sheetViews>
  <sheetFormatPr defaultColWidth="9.140625" defaultRowHeight="12.75" outlineLevelCol="1"/>
  <cols>
    <col min="1" max="1" width="7.421875" style="74" customWidth="1"/>
    <col min="2" max="2" width="47.421875" style="10" customWidth="1"/>
    <col min="3" max="3" width="25.00390625" style="10" customWidth="1"/>
    <col min="4" max="5" width="9.140625" style="27" customWidth="1"/>
    <col min="6" max="6" width="12.7109375" style="27" bestFit="1" customWidth="1"/>
    <col min="7" max="7" width="14.140625" style="27" customWidth="1"/>
    <col min="8" max="8" width="0.2890625" style="27" hidden="1" customWidth="1" outlineLevel="1"/>
    <col min="9" max="9" width="16.140625" style="35" customWidth="1" collapsed="1"/>
    <col min="10" max="11" width="16.140625" style="35" customWidth="1"/>
    <col min="12" max="12" width="16.57421875" style="35" customWidth="1"/>
    <col min="13" max="13" width="34.8515625" style="10" customWidth="1"/>
    <col min="14" max="14" width="15.140625" style="10" customWidth="1"/>
    <col min="15" max="15" width="13.140625" style="10" bestFit="1" customWidth="1"/>
    <col min="16" max="16" width="9.8515625" style="10" bestFit="1" customWidth="1"/>
    <col min="17" max="16384" width="9.140625" style="10" customWidth="1"/>
  </cols>
  <sheetData>
    <row r="1" spans="2:16" ht="15.75" customHeight="1">
      <c r="B1" s="4"/>
      <c r="C1" s="4"/>
      <c r="D1" s="19"/>
      <c r="E1" s="19"/>
      <c r="F1" s="19"/>
      <c r="G1" s="19"/>
      <c r="H1" s="19"/>
      <c r="I1" s="76"/>
      <c r="J1" s="231"/>
      <c r="K1" s="231"/>
      <c r="L1" s="76"/>
      <c r="M1" s="76"/>
      <c r="N1" s="76"/>
      <c r="O1" s="76"/>
      <c r="P1" s="76"/>
    </row>
    <row r="2" spans="2:16" ht="15.75" customHeight="1">
      <c r="B2" s="4"/>
      <c r="C2" s="4"/>
      <c r="D2" s="19"/>
      <c r="E2" s="19"/>
      <c r="F2" s="19"/>
      <c r="G2" s="19"/>
      <c r="H2" s="19"/>
      <c r="I2" s="76"/>
      <c r="J2" s="231" t="s">
        <v>281</v>
      </c>
      <c r="K2" s="231"/>
      <c r="L2" s="76"/>
      <c r="M2" s="76"/>
      <c r="N2" s="76"/>
      <c r="O2" s="76"/>
      <c r="P2" s="76"/>
    </row>
    <row r="3" spans="2:16" ht="15.75" customHeight="1">
      <c r="B3" s="4"/>
      <c r="C3" s="4"/>
      <c r="D3" s="19"/>
      <c r="E3" s="19"/>
      <c r="F3" s="19"/>
      <c r="G3" s="19"/>
      <c r="H3" s="19"/>
      <c r="I3" s="76"/>
      <c r="J3" s="231" t="s">
        <v>282</v>
      </c>
      <c r="K3" s="231"/>
      <c r="L3" s="231"/>
      <c r="M3" s="231"/>
      <c r="N3" s="76"/>
      <c r="O3" s="76"/>
      <c r="P3" s="76"/>
    </row>
    <row r="4" spans="2:16" ht="15.75" customHeight="1">
      <c r="B4" s="4"/>
      <c r="C4" s="4"/>
      <c r="D4" s="19"/>
      <c r="E4" s="19"/>
      <c r="F4" s="19"/>
      <c r="G4" s="19"/>
      <c r="H4" s="19"/>
      <c r="I4" s="76"/>
      <c r="J4" s="231" t="s">
        <v>283</v>
      </c>
      <c r="K4" s="231"/>
      <c r="L4" s="231"/>
      <c r="M4" s="231"/>
      <c r="N4" s="76"/>
      <c r="O4" s="76"/>
      <c r="P4" s="76"/>
    </row>
    <row r="5" spans="2:16" ht="15.75" customHeight="1">
      <c r="B5" s="4"/>
      <c r="C5" s="4"/>
      <c r="D5" s="19"/>
      <c r="E5" s="19"/>
      <c r="F5" s="19"/>
      <c r="G5" s="19"/>
      <c r="H5" s="19"/>
      <c r="I5" s="76"/>
      <c r="J5" s="231" t="s">
        <v>317</v>
      </c>
      <c r="K5" s="231"/>
      <c r="L5" s="231"/>
      <c r="M5" s="231"/>
      <c r="N5" s="76"/>
      <c r="O5" s="76"/>
      <c r="P5" s="76"/>
    </row>
    <row r="6" spans="2:16" ht="15.75" customHeight="1">
      <c r="B6" s="4"/>
      <c r="C6" s="4"/>
      <c r="D6" s="19"/>
      <c r="E6" s="19"/>
      <c r="F6" s="19"/>
      <c r="G6" s="19"/>
      <c r="H6" s="19"/>
      <c r="I6" s="76"/>
      <c r="J6" s="73"/>
      <c r="K6" s="73"/>
      <c r="L6" s="73"/>
      <c r="M6" s="73"/>
      <c r="N6" s="76"/>
      <c r="O6" s="76"/>
      <c r="P6" s="76"/>
    </row>
    <row r="7" spans="2:16" ht="18.75" customHeight="1">
      <c r="B7" s="4"/>
      <c r="C7" s="4"/>
      <c r="D7" s="19"/>
      <c r="E7" s="19"/>
      <c r="F7" s="19"/>
      <c r="G7" s="19"/>
      <c r="H7" s="19"/>
      <c r="I7" s="6"/>
      <c r="J7" s="231" t="s">
        <v>247</v>
      </c>
      <c r="K7" s="231"/>
      <c r="L7" s="6"/>
      <c r="M7" s="6"/>
      <c r="N7" s="76"/>
      <c r="O7" s="76"/>
      <c r="P7" s="76"/>
    </row>
    <row r="8" spans="2:16" ht="18.75" customHeight="1">
      <c r="B8" s="4"/>
      <c r="C8" s="4"/>
      <c r="D8" s="19"/>
      <c r="E8" s="19"/>
      <c r="F8" s="19"/>
      <c r="G8" s="19"/>
      <c r="H8" s="19"/>
      <c r="I8" s="76"/>
      <c r="J8" s="231" t="s">
        <v>280</v>
      </c>
      <c r="K8" s="231"/>
      <c r="L8" s="231"/>
      <c r="M8" s="231"/>
      <c r="N8" s="76"/>
      <c r="O8" s="76"/>
      <c r="P8" s="76"/>
    </row>
    <row r="9" spans="2:16" ht="29.25" customHeight="1">
      <c r="B9" s="4"/>
      <c r="C9" s="4"/>
      <c r="D9" s="19"/>
      <c r="E9" s="19"/>
      <c r="F9" s="19"/>
      <c r="G9" s="19"/>
      <c r="H9" s="19"/>
      <c r="I9" s="76"/>
      <c r="J9" s="231"/>
      <c r="K9" s="231"/>
      <c r="L9" s="231"/>
      <c r="M9" s="231"/>
      <c r="N9" s="76"/>
      <c r="O9" s="76"/>
      <c r="P9" s="76"/>
    </row>
    <row r="10" spans="2:16" ht="18.75" customHeight="1" hidden="1">
      <c r="B10" s="4"/>
      <c r="C10" s="4"/>
      <c r="D10" s="19"/>
      <c r="E10" s="19"/>
      <c r="F10" s="19"/>
      <c r="G10" s="19"/>
      <c r="H10" s="19"/>
      <c r="I10" s="76"/>
      <c r="J10" s="231"/>
      <c r="K10" s="231"/>
      <c r="L10" s="231"/>
      <c r="M10" s="231"/>
      <c r="N10" s="76"/>
      <c r="O10" s="76"/>
      <c r="P10" s="76"/>
    </row>
    <row r="11" spans="2:16" ht="15.75">
      <c r="B11" s="63"/>
      <c r="C11" s="63"/>
      <c r="D11" s="64"/>
      <c r="E11" s="64"/>
      <c r="F11" s="64"/>
      <c r="G11" s="64"/>
      <c r="H11" s="64"/>
      <c r="I11" s="76"/>
      <c r="J11" s="76"/>
      <c r="K11" s="76"/>
      <c r="L11" s="76"/>
      <c r="M11" s="76"/>
      <c r="N11" s="76"/>
      <c r="O11" s="76"/>
      <c r="P11" s="76"/>
    </row>
    <row r="12" spans="2:13" ht="15.75">
      <c r="B12" s="232" t="s">
        <v>33</v>
      </c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</row>
    <row r="13" spans="2:13" ht="15.75">
      <c r="B13" s="63"/>
      <c r="C13" s="63"/>
      <c r="D13" s="64"/>
      <c r="E13" s="64"/>
      <c r="F13" s="64"/>
      <c r="G13" s="64"/>
      <c r="H13" s="64"/>
      <c r="I13" s="50"/>
      <c r="J13" s="50"/>
      <c r="K13" s="50"/>
      <c r="L13" s="50"/>
      <c r="M13" s="63"/>
    </row>
    <row r="14" spans="1:15" ht="31.5" customHeight="1">
      <c r="A14" s="199" t="s">
        <v>0</v>
      </c>
      <c r="B14" s="201" t="s">
        <v>1</v>
      </c>
      <c r="C14" s="201" t="s">
        <v>2</v>
      </c>
      <c r="D14" s="205" t="s">
        <v>3</v>
      </c>
      <c r="E14" s="205"/>
      <c r="F14" s="205"/>
      <c r="G14" s="205"/>
      <c r="H14" s="126"/>
      <c r="I14" s="234"/>
      <c r="J14" s="234"/>
      <c r="K14" s="234"/>
      <c r="L14" s="235"/>
      <c r="M14" s="201" t="s">
        <v>14</v>
      </c>
      <c r="N14" s="11"/>
      <c r="O14" s="11"/>
    </row>
    <row r="15" spans="1:15" ht="110.25">
      <c r="A15" s="200"/>
      <c r="B15" s="201"/>
      <c r="C15" s="201"/>
      <c r="D15" s="65" t="s">
        <v>4</v>
      </c>
      <c r="E15" s="65" t="s">
        <v>5</v>
      </c>
      <c r="F15" s="65" t="s">
        <v>6</v>
      </c>
      <c r="G15" s="65" t="s">
        <v>7</v>
      </c>
      <c r="H15" s="125" t="s">
        <v>104</v>
      </c>
      <c r="I15" s="123" t="s">
        <v>141</v>
      </c>
      <c r="J15" s="123" t="s">
        <v>142</v>
      </c>
      <c r="K15" s="123" t="s">
        <v>248</v>
      </c>
      <c r="L15" s="44" t="s">
        <v>275</v>
      </c>
      <c r="M15" s="201"/>
      <c r="O15" s="10" t="s">
        <v>279</v>
      </c>
    </row>
    <row r="16" spans="1:14" ht="47.25">
      <c r="A16" s="75">
        <v>1</v>
      </c>
      <c r="B16" s="45" t="s">
        <v>252</v>
      </c>
      <c r="C16" s="66" t="s">
        <v>28</v>
      </c>
      <c r="D16" s="67" t="s">
        <v>28</v>
      </c>
      <c r="E16" s="67" t="s">
        <v>28</v>
      </c>
      <c r="F16" s="67" t="s">
        <v>28</v>
      </c>
      <c r="G16" s="67" t="s">
        <v>28</v>
      </c>
      <c r="H16" s="133">
        <f>H17+H20+H58</f>
        <v>50749.617</v>
      </c>
      <c r="I16" s="82">
        <f>I17+I20+I58</f>
        <v>51668.831</v>
      </c>
      <c r="J16" s="82">
        <f>J17+J20+J58</f>
        <v>29299.997000000003</v>
      </c>
      <c r="K16" s="82">
        <f>K17+K20+K58</f>
        <v>29308.691000000003</v>
      </c>
      <c r="L16" s="82">
        <f>I16+J16+K16</f>
        <v>110277.51900000001</v>
      </c>
      <c r="M16" s="68" t="s">
        <v>28</v>
      </c>
      <c r="N16" s="183"/>
    </row>
    <row r="17" spans="1:13" s="38" customFormat="1" ht="31.5">
      <c r="A17" s="75">
        <v>2</v>
      </c>
      <c r="B17" s="69" t="s">
        <v>253</v>
      </c>
      <c r="C17" s="66" t="s">
        <v>28</v>
      </c>
      <c r="D17" s="67" t="s">
        <v>28</v>
      </c>
      <c r="E17" s="67" t="s">
        <v>28</v>
      </c>
      <c r="F17" s="67" t="s">
        <v>28</v>
      </c>
      <c r="G17" s="67" t="s">
        <v>28</v>
      </c>
      <c r="H17" s="133">
        <f>H18</f>
        <v>0</v>
      </c>
      <c r="I17" s="84">
        <f>I19</f>
        <v>0</v>
      </c>
      <c r="J17" s="82">
        <f aca="true" t="shared" si="0" ref="J17:K19">I17</f>
        <v>0</v>
      </c>
      <c r="K17" s="82">
        <f t="shared" si="0"/>
        <v>0</v>
      </c>
      <c r="L17" s="82">
        <f>SUM(I17:K17)</f>
        <v>0</v>
      </c>
      <c r="M17" s="68" t="s">
        <v>28</v>
      </c>
    </row>
    <row r="18" spans="1:13" ht="47.25">
      <c r="A18" s="199">
        <v>3</v>
      </c>
      <c r="B18" s="222" t="s">
        <v>34</v>
      </c>
      <c r="C18" s="40" t="s">
        <v>36</v>
      </c>
      <c r="D18" s="70" t="s">
        <v>37</v>
      </c>
      <c r="E18" s="70" t="s">
        <v>38</v>
      </c>
      <c r="F18" s="65" t="s">
        <v>105</v>
      </c>
      <c r="G18" s="70" t="s">
        <v>37</v>
      </c>
      <c r="H18" s="48">
        <v>0</v>
      </c>
      <c r="I18" s="48">
        <v>0</v>
      </c>
      <c r="J18" s="80">
        <f t="shared" si="0"/>
        <v>0</v>
      </c>
      <c r="K18" s="80">
        <f t="shared" si="0"/>
        <v>0</v>
      </c>
      <c r="L18" s="80">
        <f>SUM(I18:K18)</f>
        <v>0</v>
      </c>
      <c r="M18" s="236" t="s">
        <v>65</v>
      </c>
    </row>
    <row r="19" spans="1:13" ht="15.75">
      <c r="A19" s="200"/>
      <c r="B19" s="223"/>
      <c r="C19" s="202" t="s">
        <v>45</v>
      </c>
      <c r="D19" s="203"/>
      <c r="E19" s="203"/>
      <c r="F19" s="203"/>
      <c r="G19" s="204"/>
      <c r="H19" s="127">
        <f>H18</f>
        <v>0</v>
      </c>
      <c r="I19" s="48">
        <f>I18</f>
        <v>0</v>
      </c>
      <c r="J19" s="80">
        <f t="shared" si="0"/>
        <v>0</v>
      </c>
      <c r="K19" s="80">
        <f t="shared" si="0"/>
        <v>0</v>
      </c>
      <c r="L19" s="80">
        <f>SUM(I19:K19)</f>
        <v>0</v>
      </c>
      <c r="M19" s="237"/>
    </row>
    <row r="20" spans="1:16" s="38" customFormat="1" ht="15.75">
      <c r="A20" s="75">
        <v>4</v>
      </c>
      <c r="B20" s="69" t="s">
        <v>254</v>
      </c>
      <c r="C20" s="66" t="s">
        <v>28</v>
      </c>
      <c r="D20" s="67" t="s">
        <v>28</v>
      </c>
      <c r="E20" s="67" t="s">
        <v>28</v>
      </c>
      <c r="F20" s="67" t="s">
        <v>28</v>
      </c>
      <c r="G20" s="67" t="s">
        <v>28</v>
      </c>
      <c r="H20" s="133">
        <f>H34+H36+H38+H40+H47+H52+H57</f>
        <v>35947.814</v>
      </c>
      <c r="I20" s="84">
        <f>I34+I36+I38+I40+I47+I52+I57+I49</f>
        <v>43830.879</v>
      </c>
      <c r="J20" s="84">
        <f>J34+J36+J38+J40+J47+J52+J57</f>
        <v>23485.572000000004</v>
      </c>
      <c r="K20" s="84">
        <f>K34+K36+K38+K40+K47+K52+K57</f>
        <v>23486.140000000003</v>
      </c>
      <c r="L20" s="82">
        <f>I20+J20+K20</f>
        <v>90802.591</v>
      </c>
      <c r="M20" s="58" t="s">
        <v>28</v>
      </c>
      <c r="P20" s="184"/>
    </row>
    <row r="21" spans="1:13" ht="15.75" customHeight="1">
      <c r="A21" s="199">
        <v>5</v>
      </c>
      <c r="B21" s="222" t="s">
        <v>35</v>
      </c>
      <c r="C21" s="201" t="s">
        <v>288</v>
      </c>
      <c r="D21" s="206" t="s">
        <v>37</v>
      </c>
      <c r="E21" s="206" t="s">
        <v>38</v>
      </c>
      <c r="F21" s="205" t="s">
        <v>108</v>
      </c>
      <c r="G21" s="70" t="s">
        <v>39</v>
      </c>
      <c r="H21" s="48">
        <f>17501.161+1975.097</f>
        <v>19476.258</v>
      </c>
      <c r="I21" s="48">
        <f>12038.904</f>
        <v>12038.904</v>
      </c>
      <c r="J21" s="48">
        <f>12038.904</f>
        <v>12038.904</v>
      </c>
      <c r="K21" s="48">
        <f>12038.904</f>
        <v>12038.904</v>
      </c>
      <c r="L21" s="80">
        <f aca="true" t="shared" si="1" ref="L21:L35">I21+J21+K21</f>
        <v>36116.712</v>
      </c>
      <c r="M21" s="221" t="s">
        <v>83</v>
      </c>
    </row>
    <row r="22" spans="1:15" ht="15.75">
      <c r="A22" s="207"/>
      <c r="B22" s="233"/>
      <c r="C22" s="201"/>
      <c r="D22" s="206"/>
      <c r="E22" s="206"/>
      <c r="F22" s="205"/>
      <c r="G22" s="70" t="s">
        <v>40</v>
      </c>
      <c r="H22" s="130">
        <v>1178.36</v>
      </c>
      <c r="I22" s="48">
        <f>663.455</f>
        <v>663.455</v>
      </c>
      <c r="J22" s="48">
        <f>663.455</f>
        <v>663.455</v>
      </c>
      <c r="K22" s="48">
        <f>663.455</f>
        <v>663.455</v>
      </c>
      <c r="L22" s="80">
        <f t="shared" si="1"/>
        <v>1990.3650000000002</v>
      </c>
      <c r="M22" s="221"/>
      <c r="O22" s="183"/>
    </row>
    <row r="23" spans="1:13" ht="15.75" customHeight="1">
      <c r="A23" s="207"/>
      <c r="B23" s="233"/>
      <c r="C23" s="201"/>
      <c r="D23" s="206"/>
      <c r="E23" s="206"/>
      <c r="F23" s="205"/>
      <c r="G23" s="70" t="s">
        <v>106</v>
      </c>
      <c r="H23" s="48">
        <f>5294.476+596.479</f>
        <v>5890.955</v>
      </c>
      <c r="I23" s="48">
        <f>3635.863</f>
        <v>3635.863</v>
      </c>
      <c r="J23" s="48">
        <f>3635.863</f>
        <v>3635.863</v>
      </c>
      <c r="K23" s="48">
        <f>3635.863</f>
        <v>3635.863</v>
      </c>
      <c r="L23" s="80">
        <f t="shared" si="1"/>
        <v>10907.589</v>
      </c>
      <c r="M23" s="221"/>
    </row>
    <row r="24" spans="1:16" ht="15.75">
      <c r="A24" s="207"/>
      <c r="B24" s="233"/>
      <c r="C24" s="201"/>
      <c r="D24" s="206"/>
      <c r="E24" s="206"/>
      <c r="F24" s="205"/>
      <c r="G24" s="70" t="s">
        <v>37</v>
      </c>
      <c r="H24" s="130">
        <v>8331.189</v>
      </c>
      <c r="I24" s="48">
        <f>7297.699</f>
        <v>7297.699</v>
      </c>
      <c r="J24" s="48">
        <f>6827.729</f>
        <v>6827.729</v>
      </c>
      <c r="K24" s="48">
        <f>6827.729</f>
        <v>6827.729</v>
      </c>
      <c r="L24" s="80">
        <f t="shared" si="1"/>
        <v>20953.157</v>
      </c>
      <c r="M24" s="221"/>
      <c r="P24" s="183"/>
    </row>
    <row r="25" spans="1:15" ht="15.75">
      <c r="A25" s="207"/>
      <c r="B25" s="233"/>
      <c r="C25" s="201"/>
      <c r="D25" s="206"/>
      <c r="E25" s="206"/>
      <c r="F25" s="205"/>
      <c r="G25" s="70" t="s">
        <v>41</v>
      </c>
      <c r="H25" s="48">
        <f>3.2+1.8</f>
        <v>5</v>
      </c>
      <c r="I25" s="48">
        <f>3.2</f>
        <v>3.2</v>
      </c>
      <c r="J25" s="48">
        <f>3.2</f>
        <v>3.2</v>
      </c>
      <c r="K25" s="48">
        <f>3.2</f>
        <v>3.2</v>
      </c>
      <c r="L25" s="80">
        <f t="shared" si="1"/>
        <v>9.600000000000001</v>
      </c>
      <c r="M25" s="221"/>
      <c r="N25" s="183">
        <f>J16-29299.997</f>
        <v>0</v>
      </c>
      <c r="O25" s="183"/>
    </row>
    <row r="26" spans="1:13" ht="15.75">
      <c r="A26" s="207"/>
      <c r="B26" s="233"/>
      <c r="C26" s="201"/>
      <c r="D26" s="206"/>
      <c r="E26" s="206"/>
      <c r="F26" s="205"/>
      <c r="G26" s="71" t="s">
        <v>134</v>
      </c>
      <c r="H26" s="130">
        <v>20</v>
      </c>
      <c r="I26" s="48">
        <v>0</v>
      </c>
      <c r="J26" s="80">
        <v>0</v>
      </c>
      <c r="K26" s="80">
        <v>0</v>
      </c>
      <c r="L26" s="80">
        <f t="shared" si="1"/>
        <v>0</v>
      </c>
      <c r="M26" s="221"/>
    </row>
    <row r="27" spans="1:13" ht="15.75">
      <c r="A27" s="207"/>
      <c r="B27" s="233"/>
      <c r="C27" s="201" t="s">
        <v>287</v>
      </c>
      <c r="D27" s="206" t="s">
        <v>37</v>
      </c>
      <c r="E27" s="206" t="s">
        <v>38</v>
      </c>
      <c r="F27" s="228" t="s">
        <v>278</v>
      </c>
      <c r="G27" s="185" t="s">
        <v>39</v>
      </c>
      <c r="H27" s="132"/>
      <c r="I27" s="48">
        <v>8216.406</v>
      </c>
      <c r="J27" s="80">
        <v>0</v>
      </c>
      <c r="K27" s="80">
        <v>0</v>
      </c>
      <c r="L27" s="80">
        <f t="shared" si="1"/>
        <v>8216.406</v>
      </c>
      <c r="M27" s="221"/>
    </row>
    <row r="28" spans="1:13" ht="15.75">
      <c r="A28" s="207"/>
      <c r="B28" s="233"/>
      <c r="C28" s="201"/>
      <c r="D28" s="206"/>
      <c r="E28" s="206"/>
      <c r="F28" s="229"/>
      <c r="G28" s="185" t="s">
        <v>40</v>
      </c>
      <c r="H28" s="132"/>
      <c r="I28" s="48">
        <v>689.624</v>
      </c>
      <c r="J28" s="80">
        <v>0</v>
      </c>
      <c r="K28" s="80">
        <v>0</v>
      </c>
      <c r="L28" s="80">
        <f t="shared" si="1"/>
        <v>689.624</v>
      </c>
      <c r="M28" s="221"/>
    </row>
    <row r="29" spans="1:13" ht="15.75">
      <c r="A29" s="207"/>
      <c r="B29" s="233"/>
      <c r="C29" s="201"/>
      <c r="D29" s="206"/>
      <c r="E29" s="206"/>
      <c r="F29" s="229"/>
      <c r="G29" s="185" t="s">
        <v>106</v>
      </c>
      <c r="H29" s="132"/>
      <c r="I29" s="48">
        <v>2490.73</v>
      </c>
      <c r="J29" s="80">
        <v>0</v>
      </c>
      <c r="K29" s="80">
        <v>0</v>
      </c>
      <c r="L29" s="80">
        <f t="shared" si="1"/>
        <v>2490.73</v>
      </c>
      <c r="M29" s="221"/>
    </row>
    <row r="30" spans="1:14" ht="15.75">
      <c r="A30" s="207"/>
      <c r="B30" s="233"/>
      <c r="C30" s="201"/>
      <c r="D30" s="206"/>
      <c r="E30" s="206"/>
      <c r="F30" s="229"/>
      <c r="G30" s="185" t="s">
        <v>37</v>
      </c>
      <c r="H30" s="132"/>
      <c r="I30" s="48">
        <v>275</v>
      </c>
      <c r="J30" s="80">
        <v>0</v>
      </c>
      <c r="K30" s="80">
        <v>0</v>
      </c>
      <c r="L30" s="80">
        <f t="shared" si="1"/>
        <v>275</v>
      </c>
      <c r="M30" s="221"/>
      <c r="N30" s="183"/>
    </row>
    <row r="31" spans="1:13" ht="15.75">
      <c r="A31" s="207"/>
      <c r="B31" s="233"/>
      <c r="C31" s="201"/>
      <c r="D31" s="206"/>
      <c r="E31" s="206"/>
      <c r="F31" s="229"/>
      <c r="G31" s="185" t="s">
        <v>41</v>
      </c>
      <c r="H31" s="132"/>
      <c r="I31" s="48">
        <v>0</v>
      </c>
      <c r="J31" s="80">
        <v>0</v>
      </c>
      <c r="K31" s="80">
        <v>0</v>
      </c>
      <c r="L31" s="80">
        <f t="shared" si="1"/>
        <v>0</v>
      </c>
      <c r="M31" s="221"/>
    </row>
    <row r="32" spans="1:13" ht="15.75">
      <c r="A32" s="207"/>
      <c r="B32" s="233"/>
      <c r="C32" s="201"/>
      <c r="D32" s="206"/>
      <c r="E32" s="206"/>
      <c r="F32" s="229"/>
      <c r="G32" s="186" t="s">
        <v>134</v>
      </c>
      <c r="H32" s="132"/>
      <c r="I32" s="48">
        <v>0</v>
      </c>
      <c r="J32" s="80">
        <v>0</v>
      </c>
      <c r="K32" s="80">
        <v>0</v>
      </c>
      <c r="L32" s="80">
        <f>I32+J32+K32</f>
        <v>0</v>
      </c>
      <c r="M32" s="221"/>
    </row>
    <row r="33" spans="1:13" ht="15.75">
      <c r="A33" s="207"/>
      <c r="B33" s="233"/>
      <c r="C33" s="201"/>
      <c r="D33" s="206"/>
      <c r="E33" s="206"/>
      <c r="F33" s="230"/>
      <c r="G33" s="186" t="s">
        <v>290</v>
      </c>
      <c r="H33" s="132"/>
      <c r="I33" s="48">
        <v>7459.657</v>
      </c>
      <c r="J33" s="80">
        <v>0</v>
      </c>
      <c r="K33" s="80">
        <v>0</v>
      </c>
      <c r="L33" s="80">
        <f t="shared" si="1"/>
        <v>7459.657</v>
      </c>
      <c r="M33" s="221"/>
    </row>
    <row r="34" spans="1:13" ht="15.75">
      <c r="A34" s="200"/>
      <c r="B34" s="233"/>
      <c r="C34" s="202" t="s">
        <v>42</v>
      </c>
      <c r="D34" s="203"/>
      <c r="E34" s="203"/>
      <c r="F34" s="203"/>
      <c r="G34" s="204"/>
      <c r="H34" s="132">
        <f>H21+H22+H23+H24+H25+H26</f>
        <v>34901.762</v>
      </c>
      <c r="I34" s="48">
        <f>SUM(I21:I33)</f>
        <v>42770.538</v>
      </c>
      <c r="J34" s="48">
        <f>SUM(J21:J33)</f>
        <v>23169.151</v>
      </c>
      <c r="K34" s="48">
        <f>SUM(K21:K33)</f>
        <v>23169.151</v>
      </c>
      <c r="L34" s="80">
        <f>I34+J34+K34</f>
        <v>89108.84</v>
      </c>
      <c r="M34" s="221"/>
    </row>
    <row r="35" spans="1:13" s="46" customFormat="1" ht="47.25" customHeight="1">
      <c r="A35" s="199">
        <v>6</v>
      </c>
      <c r="B35" s="222" t="s">
        <v>94</v>
      </c>
      <c r="C35" s="40" t="s">
        <v>36</v>
      </c>
      <c r="D35" s="70" t="s">
        <v>37</v>
      </c>
      <c r="E35" s="70" t="s">
        <v>38</v>
      </c>
      <c r="F35" s="65" t="s">
        <v>109</v>
      </c>
      <c r="G35" s="70" t="s">
        <v>37</v>
      </c>
      <c r="H35" s="130">
        <v>0</v>
      </c>
      <c r="I35" s="48">
        <f>15</f>
        <v>15</v>
      </c>
      <c r="J35" s="48">
        <f>15.48</f>
        <v>15.48</v>
      </c>
      <c r="K35" s="48">
        <f>16.048</f>
        <v>16.048</v>
      </c>
      <c r="L35" s="80">
        <f t="shared" si="1"/>
        <v>46.528</v>
      </c>
      <c r="M35" s="221"/>
    </row>
    <row r="36" spans="1:13" s="46" customFormat="1" ht="15.75">
      <c r="A36" s="200"/>
      <c r="B36" s="223"/>
      <c r="C36" s="202" t="s">
        <v>46</v>
      </c>
      <c r="D36" s="203"/>
      <c r="E36" s="203"/>
      <c r="F36" s="203"/>
      <c r="G36" s="204"/>
      <c r="H36" s="132">
        <f>H35</f>
        <v>0</v>
      </c>
      <c r="I36" s="48">
        <f>I35</f>
        <v>15</v>
      </c>
      <c r="J36" s="48">
        <f>J35</f>
        <v>15.48</v>
      </c>
      <c r="K36" s="48">
        <f>K35</f>
        <v>16.048</v>
      </c>
      <c r="L36" s="80">
        <f>SUM(H36:K36)</f>
        <v>46.528</v>
      </c>
      <c r="M36" s="221"/>
    </row>
    <row r="37" spans="1:13" s="46" customFormat="1" ht="47.25" customHeight="1">
      <c r="A37" s="199">
        <v>7</v>
      </c>
      <c r="B37" s="197" t="s">
        <v>91</v>
      </c>
      <c r="C37" s="41" t="s">
        <v>36</v>
      </c>
      <c r="D37" s="60" t="s">
        <v>37</v>
      </c>
      <c r="E37" s="60" t="s">
        <v>38</v>
      </c>
      <c r="F37" s="53" t="s">
        <v>110</v>
      </c>
      <c r="G37" s="60" t="s">
        <v>37</v>
      </c>
      <c r="H37" s="130">
        <v>581.524</v>
      </c>
      <c r="I37" s="48">
        <f>186.524+395</f>
        <v>581.524</v>
      </c>
      <c r="J37" s="48">
        <f>186.524</f>
        <v>186.524</v>
      </c>
      <c r="K37" s="48">
        <f>186.524</f>
        <v>186.524</v>
      </c>
      <c r="L37" s="80">
        <f>I37+J37+K37</f>
        <v>954.572</v>
      </c>
      <c r="M37" s="221" t="s">
        <v>81</v>
      </c>
    </row>
    <row r="38" spans="1:13" s="46" customFormat="1" ht="15.75">
      <c r="A38" s="200"/>
      <c r="B38" s="198"/>
      <c r="C38" s="211" t="s">
        <v>47</v>
      </c>
      <c r="D38" s="212"/>
      <c r="E38" s="212"/>
      <c r="F38" s="212"/>
      <c r="G38" s="213"/>
      <c r="H38" s="132">
        <f>H37</f>
        <v>581.524</v>
      </c>
      <c r="I38" s="48">
        <f>I37</f>
        <v>581.524</v>
      </c>
      <c r="J38" s="80">
        <f>J37</f>
        <v>186.524</v>
      </c>
      <c r="K38" s="80">
        <f>K37</f>
        <v>186.524</v>
      </c>
      <c r="L38" s="80">
        <f>I38+J38+K38</f>
        <v>954.572</v>
      </c>
      <c r="M38" s="221"/>
    </row>
    <row r="39" spans="1:13" s="46" customFormat="1" ht="53.25" customHeight="1">
      <c r="A39" s="199">
        <v>8</v>
      </c>
      <c r="B39" s="197" t="s">
        <v>300</v>
      </c>
      <c r="C39" s="41" t="s">
        <v>36</v>
      </c>
      <c r="D39" s="60" t="s">
        <v>37</v>
      </c>
      <c r="E39" s="60" t="s">
        <v>38</v>
      </c>
      <c r="F39" s="53" t="s">
        <v>156</v>
      </c>
      <c r="G39" s="60" t="s">
        <v>37</v>
      </c>
      <c r="H39" s="130">
        <v>18.5</v>
      </c>
      <c r="I39" s="48">
        <v>17.8</v>
      </c>
      <c r="J39" s="80">
        <v>0</v>
      </c>
      <c r="K39" s="80">
        <v>0</v>
      </c>
      <c r="L39" s="80">
        <f>I39+J39+K39</f>
        <v>17.8</v>
      </c>
      <c r="M39" s="221"/>
    </row>
    <row r="40" spans="1:13" s="46" customFormat="1" ht="15.75">
      <c r="A40" s="200"/>
      <c r="B40" s="198"/>
      <c r="C40" s="211" t="s">
        <v>80</v>
      </c>
      <c r="D40" s="212"/>
      <c r="E40" s="212"/>
      <c r="F40" s="212"/>
      <c r="G40" s="213"/>
      <c r="H40" s="132">
        <f>H39</f>
        <v>18.5</v>
      </c>
      <c r="I40" s="48">
        <f>I39</f>
        <v>17.8</v>
      </c>
      <c r="J40" s="80">
        <v>0</v>
      </c>
      <c r="K40" s="80">
        <v>0</v>
      </c>
      <c r="L40" s="80">
        <f>I40+J40+K40</f>
        <v>17.8</v>
      </c>
      <c r="M40" s="221"/>
    </row>
    <row r="41" spans="1:13" s="46" customFormat="1" ht="15.75" customHeight="1">
      <c r="A41" s="199">
        <v>9</v>
      </c>
      <c r="B41" s="197" t="s">
        <v>92</v>
      </c>
      <c r="C41" s="215" t="s">
        <v>36</v>
      </c>
      <c r="D41" s="209" t="s">
        <v>37</v>
      </c>
      <c r="E41" s="209" t="s">
        <v>38</v>
      </c>
      <c r="F41" s="218" t="s">
        <v>114</v>
      </c>
      <c r="G41" s="60" t="s">
        <v>37</v>
      </c>
      <c r="H41" s="48">
        <v>0</v>
      </c>
      <c r="I41" s="48">
        <v>0</v>
      </c>
      <c r="J41" s="80">
        <f>I41</f>
        <v>0</v>
      </c>
      <c r="K41" s="80">
        <f>J41</f>
        <v>0</v>
      </c>
      <c r="L41" s="80">
        <f aca="true" t="shared" si="2" ref="L41:L46">I41+J41+K41</f>
        <v>0</v>
      </c>
      <c r="M41" s="221"/>
    </row>
    <row r="42" spans="1:13" s="46" customFormat="1" ht="15.75">
      <c r="A42" s="207"/>
      <c r="B42" s="219"/>
      <c r="C42" s="216"/>
      <c r="D42" s="220"/>
      <c r="E42" s="210"/>
      <c r="F42" s="210"/>
      <c r="G42" s="60" t="s">
        <v>61</v>
      </c>
      <c r="H42" s="48">
        <v>0</v>
      </c>
      <c r="I42" s="48">
        <v>0</v>
      </c>
      <c r="J42" s="80">
        <f>I42</f>
        <v>0</v>
      </c>
      <c r="K42" s="80">
        <f>J42</f>
        <v>0</v>
      </c>
      <c r="L42" s="80">
        <f t="shared" si="2"/>
        <v>0</v>
      </c>
      <c r="M42" s="221"/>
    </row>
    <row r="43" spans="1:13" s="46" customFormat="1" ht="15.75">
      <c r="A43" s="207"/>
      <c r="B43" s="219"/>
      <c r="C43" s="216"/>
      <c r="D43" s="220"/>
      <c r="E43" s="209" t="s">
        <v>38</v>
      </c>
      <c r="F43" s="218" t="s">
        <v>262</v>
      </c>
      <c r="G43" s="60" t="s">
        <v>37</v>
      </c>
      <c r="H43" s="48">
        <v>112.372</v>
      </c>
      <c r="I43" s="48">
        <v>16</v>
      </c>
      <c r="J43" s="80">
        <f>114.167</f>
        <v>114.167</v>
      </c>
      <c r="K43" s="80">
        <f>114.167</f>
        <v>114.167</v>
      </c>
      <c r="L43" s="80">
        <f>I43+J43+K43</f>
        <v>244.334</v>
      </c>
      <c r="M43" s="221"/>
    </row>
    <row r="44" spans="1:13" s="46" customFormat="1" ht="15.75">
      <c r="A44" s="207"/>
      <c r="B44" s="219"/>
      <c r="C44" s="216"/>
      <c r="D44" s="220"/>
      <c r="E44" s="210"/>
      <c r="F44" s="210"/>
      <c r="G44" s="60" t="s">
        <v>61</v>
      </c>
      <c r="H44" s="48">
        <v>0</v>
      </c>
      <c r="I44" s="48">
        <v>0</v>
      </c>
      <c r="J44" s="48">
        <v>0</v>
      </c>
      <c r="K44" s="48">
        <v>0</v>
      </c>
      <c r="L44" s="80">
        <f t="shared" si="2"/>
        <v>0</v>
      </c>
      <c r="M44" s="221"/>
    </row>
    <row r="45" spans="1:13" s="46" customFormat="1" ht="15.75">
      <c r="A45" s="207"/>
      <c r="B45" s="219"/>
      <c r="C45" s="216"/>
      <c r="D45" s="220"/>
      <c r="E45" s="209" t="s">
        <v>38</v>
      </c>
      <c r="F45" s="218" t="s">
        <v>132</v>
      </c>
      <c r="G45" s="60" t="s">
        <v>37</v>
      </c>
      <c r="H45" s="48">
        <v>0</v>
      </c>
      <c r="I45" s="48">
        <v>97.417</v>
      </c>
      <c r="J45" s="48">
        <v>0</v>
      </c>
      <c r="K45" s="48">
        <v>0</v>
      </c>
      <c r="L45" s="80">
        <f>I45+J45+K45</f>
        <v>97.417</v>
      </c>
      <c r="M45" s="221"/>
    </row>
    <row r="46" spans="1:13" s="46" customFormat="1" ht="15.75">
      <c r="A46" s="207"/>
      <c r="B46" s="219"/>
      <c r="C46" s="217"/>
      <c r="D46" s="210"/>
      <c r="E46" s="210"/>
      <c r="F46" s="210"/>
      <c r="G46" s="60" t="s">
        <v>61</v>
      </c>
      <c r="H46" s="48">
        <v>0</v>
      </c>
      <c r="I46" s="48">
        <v>0</v>
      </c>
      <c r="J46" s="80">
        <f>I46</f>
        <v>0</v>
      </c>
      <c r="K46" s="80">
        <f>J46</f>
        <v>0</v>
      </c>
      <c r="L46" s="80">
        <f t="shared" si="2"/>
        <v>0</v>
      </c>
      <c r="M46" s="221"/>
    </row>
    <row r="47" spans="1:13" s="46" customFormat="1" ht="15.75">
      <c r="A47" s="200"/>
      <c r="B47" s="198"/>
      <c r="C47" s="211" t="s">
        <v>87</v>
      </c>
      <c r="D47" s="212"/>
      <c r="E47" s="212"/>
      <c r="F47" s="212"/>
      <c r="G47" s="213"/>
      <c r="H47" s="132">
        <f>H41+H42+H43+H44+H45+H46</f>
        <v>112.372</v>
      </c>
      <c r="I47" s="48">
        <f>I43+I45</f>
        <v>113.417</v>
      </c>
      <c r="J47" s="48">
        <f>J43</f>
        <v>114.167</v>
      </c>
      <c r="K47" s="48">
        <f>K43</f>
        <v>114.167</v>
      </c>
      <c r="L47" s="80">
        <f>I47+J47+K47</f>
        <v>341.751</v>
      </c>
      <c r="M47" s="221"/>
    </row>
    <row r="48" spans="1:13" s="46" customFormat="1" ht="71.25" customHeight="1">
      <c r="A48" s="199">
        <f>A41+1</f>
        <v>10</v>
      </c>
      <c r="B48" s="197" t="s">
        <v>301</v>
      </c>
      <c r="C48" s="140" t="s">
        <v>36</v>
      </c>
      <c r="D48" s="60" t="s">
        <v>37</v>
      </c>
      <c r="E48" s="60" t="s">
        <v>38</v>
      </c>
      <c r="F48" s="120" t="s">
        <v>304</v>
      </c>
      <c r="G48" s="60" t="s">
        <v>37</v>
      </c>
      <c r="H48" s="130"/>
      <c r="I48" s="48">
        <v>284.557</v>
      </c>
      <c r="J48" s="130">
        <v>0</v>
      </c>
      <c r="K48" s="130">
        <v>0</v>
      </c>
      <c r="L48" s="130">
        <f>I48+J48+K48</f>
        <v>284.557</v>
      </c>
      <c r="M48" s="221"/>
    </row>
    <row r="49" spans="1:13" s="46" customFormat="1" ht="17.25" customHeight="1">
      <c r="A49" s="200"/>
      <c r="B49" s="198"/>
      <c r="C49" s="211" t="s">
        <v>93</v>
      </c>
      <c r="D49" s="212"/>
      <c r="E49" s="212"/>
      <c r="F49" s="212"/>
      <c r="G49" s="213"/>
      <c r="H49" s="130"/>
      <c r="I49" s="48">
        <f>I48</f>
        <v>284.557</v>
      </c>
      <c r="J49" s="48">
        <f>J48</f>
        <v>0</v>
      </c>
      <c r="K49" s="48">
        <f>K48</f>
        <v>0</v>
      </c>
      <c r="L49" s="130">
        <f>I49+J49+K49</f>
        <v>284.557</v>
      </c>
      <c r="M49" s="221"/>
    </row>
    <row r="50" spans="1:13" s="46" customFormat="1" ht="20.25" customHeight="1">
      <c r="A50" s="199">
        <f>A48+1</f>
        <v>11</v>
      </c>
      <c r="B50" s="197" t="s">
        <v>302</v>
      </c>
      <c r="C50" s="215" t="s">
        <v>36</v>
      </c>
      <c r="D50" s="209" t="s">
        <v>37</v>
      </c>
      <c r="E50" s="209" t="s">
        <v>38</v>
      </c>
      <c r="F50" s="218" t="s">
        <v>156</v>
      </c>
      <c r="G50" s="60" t="s">
        <v>37</v>
      </c>
      <c r="H50" s="130">
        <v>331.6</v>
      </c>
      <c r="I50" s="48">
        <v>47.043</v>
      </c>
      <c r="J50" s="80">
        <v>0</v>
      </c>
      <c r="K50" s="80">
        <f>J50</f>
        <v>0</v>
      </c>
      <c r="L50" s="80">
        <f>I50+J50+K50</f>
        <v>47.043</v>
      </c>
      <c r="M50" s="221"/>
    </row>
    <row r="51" spans="1:13" s="46" customFormat="1" ht="33.75" customHeight="1">
      <c r="A51" s="207"/>
      <c r="B51" s="219"/>
      <c r="C51" s="217"/>
      <c r="D51" s="210"/>
      <c r="E51" s="210"/>
      <c r="F51" s="210"/>
      <c r="G51" s="60" t="s">
        <v>61</v>
      </c>
      <c r="H51" s="130">
        <v>0</v>
      </c>
      <c r="I51" s="48">
        <v>0</v>
      </c>
      <c r="J51" s="80">
        <f>I51</f>
        <v>0</v>
      </c>
      <c r="K51" s="80">
        <f>J51</f>
        <v>0</v>
      </c>
      <c r="L51" s="80">
        <f>SUM(H51:K51)</f>
        <v>0</v>
      </c>
      <c r="M51" s="221"/>
    </row>
    <row r="52" spans="1:13" s="46" customFormat="1" ht="21" customHeight="1">
      <c r="A52" s="200"/>
      <c r="B52" s="198"/>
      <c r="C52" s="211" t="s">
        <v>98</v>
      </c>
      <c r="D52" s="212"/>
      <c r="E52" s="212"/>
      <c r="F52" s="212"/>
      <c r="G52" s="213"/>
      <c r="H52" s="132">
        <f>H50+H51</f>
        <v>331.6</v>
      </c>
      <c r="I52" s="48">
        <f>SUM(I50:I51)</f>
        <v>47.043</v>
      </c>
      <c r="J52" s="80">
        <f>J50+J51</f>
        <v>0</v>
      </c>
      <c r="K52" s="80">
        <f>J52</f>
        <v>0</v>
      </c>
      <c r="L52" s="80">
        <f>I52+J52+K52</f>
        <v>47.043</v>
      </c>
      <c r="M52" s="221"/>
    </row>
    <row r="53" spans="1:13" s="46" customFormat="1" ht="43.5" customHeight="1">
      <c r="A53" s="199">
        <f>A50+1</f>
        <v>12</v>
      </c>
      <c r="B53" s="215" t="s">
        <v>303</v>
      </c>
      <c r="C53" s="215" t="s">
        <v>36</v>
      </c>
      <c r="D53" s="209" t="s">
        <v>37</v>
      </c>
      <c r="E53" s="60" t="s">
        <v>38</v>
      </c>
      <c r="F53" s="53" t="s">
        <v>113</v>
      </c>
      <c r="G53" s="60" t="s">
        <v>37</v>
      </c>
      <c r="H53" s="130">
        <v>0</v>
      </c>
      <c r="I53" s="130">
        <v>0</v>
      </c>
      <c r="J53" s="130">
        <v>0</v>
      </c>
      <c r="K53" s="130">
        <v>0</v>
      </c>
      <c r="L53" s="80">
        <f>SUM(H53:K53)</f>
        <v>0</v>
      </c>
      <c r="M53" s="221"/>
    </row>
    <row r="54" spans="1:13" s="46" customFormat="1" ht="34.5" customHeight="1">
      <c r="A54" s="207"/>
      <c r="B54" s="216"/>
      <c r="C54" s="216"/>
      <c r="D54" s="220"/>
      <c r="E54" s="60" t="s">
        <v>38</v>
      </c>
      <c r="F54" s="53" t="s">
        <v>133</v>
      </c>
      <c r="G54" s="60" t="s">
        <v>37</v>
      </c>
      <c r="H54" s="130">
        <v>0</v>
      </c>
      <c r="I54" s="48">
        <v>0</v>
      </c>
      <c r="J54" s="48">
        <v>0</v>
      </c>
      <c r="K54" s="48">
        <v>0</v>
      </c>
      <c r="L54" s="80">
        <f>I54+J54+K54</f>
        <v>0</v>
      </c>
      <c r="M54" s="221"/>
    </row>
    <row r="55" spans="1:13" s="46" customFormat="1" ht="39" customHeight="1">
      <c r="A55" s="207"/>
      <c r="B55" s="216"/>
      <c r="C55" s="217"/>
      <c r="D55" s="210"/>
      <c r="E55" s="60" t="s">
        <v>38</v>
      </c>
      <c r="F55" s="53" t="s">
        <v>261</v>
      </c>
      <c r="G55" s="60" t="s">
        <v>37</v>
      </c>
      <c r="H55" s="130">
        <v>2.056</v>
      </c>
      <c r="I55" s="48">
        <v>1</v>
      </c>
      <c r="J55" s="80">
        <f>0.25</f>
        <v>0.25</v>
      </c>
      <c r="K55" s="80">
        <f>0.25</f>
        <v>0.25</v>
      </c>
      <c r="L55" s="80">
        <f>I55+J55+K55</f>
        <v>1.5</v>
      </c>
      <c r="M55" s="221"/>
    </row>
    <row r="56" spans="1:13" s="46" customFormat="1" ht="15.75" customHeight="1" hidden="1">
      <c r="A56" s="207"/>
      <c r="B56" s="216"/>
      <c r="C56" s="211" t="s">
        <v>98</v>
      </c>
      <c r="D56" s="212"/>
      <c r="E56" s="212"/>
      <c r="F56" s="212"/>
      <c r="G56" s="213"/>
      <c r="H56" s="132">
        <f>H53+H54+H55</f>
        <v>2.056</v>
      </c>
      <c r="I56" s="48">
        <f>I54</f>
        <v>0</v>
      </c>
      <c r="J56" s="80">
        <f>I56</f>
        <v>0</v>
      </c>
      <c r="K56" s="80">
        <f>J56</f>
        <v>0</v>
      </c>
      <c r="L56" s="80">
        <f>SUM(H56:K56)</f>
        <v>2.056</v>
      </c>
      <c r="M56" s="221"/>
    </row>
    <row r="57" spans="1:13" s="46" customFormat="1" ht="15.75">
      <c r="A57" s="200"/>
      <c r="B57" s="217"/>
      <c r="C57" s="211" t="s">
        <v>305</v>
      </c>
      <c r="D57" s="212"/>
      <c r="E57" s="212"/>
      <c r="F57" s="212"/>
      <c r="G57" s="213"/>
      <c r="H57" s="132">
        <f>H53+H54+H55</f>
        <v>2.056</v>
      </c>
      <c r="I57" s="132">
        <f>I53+I54+I55</f>
        <v>1</v>
      </c>
      <c r="J57" s="132">
        <f>J53+J54+J55</f>
        <v>0.25</v>
      </c>
      <c r="K57" s="132">
        <f>K53+K54+K55</f>
        <v>0.25</v>
      </c>
      <c r="L57" s="80">
        <f>L53+L54+L55</f>
        <v>1.5</v>
      </c>
      <c r="M57" s="41"/>
    </row>
    <row r="58" spans="1:13" s="38" customFormat="1" ht="15.75">
      <c r="A58" s="75">
        <f>A53+1</f>
        <v>13</v>
      </c>
      <c r="B58" s="59" t="s">
        <v>255</v>
      </c>
      <c r="C58" s="56" t="s">
        <v>28</v>
      </c>
      <c r="D58" s="57" t="s">
        <v>28</v>
      </c>
      <c r="E58" s="57" t="s">
        <v>28</v>
      </c>
      <c r="F58" s="57" t="s">
        <v>28</v>
      </c>
      <c r="G58" s="57" t="s">
        <v>28</v>
      </c>
      <c r="H58" s="131">
        <f>H64+H66+H68+H70</f>
        <v>14801.803000000002</v>
      </c>
      <c r="I58" s="84">
        <f>I64+I66+I68+I70</f>
        <v>7837.952</v>
      </c>
      <c r="J58" s="84">
        <f>J64+J66+J68+J70</f>
        <v>5814.425</v>
      </c>
      <c r="K58" s="84">
        <f>K64+K66+K68+K70</f>
        <v>5822.551</v>
      </c>
      <c r="L58" s="82">
        <f aca="true" t="shared" si="3" ref="L58:L66">I58+J58+K58</f>
        <v>19474.928</v>
      </c>
      <c r="M58" s="58" t="s">
        <v>28</v>
      </c>
    </row>
    <row r="59" spans="1:13" ht="15.75" customHeight="1">
      <c r="A59" s="199">
        <f>A58+1</f>
        <v>14</v>
      </c>
      <c r="B59" s="197" t="s">
        <v>44</v>
      </c>
      <c r="C59" s="221" t="s">
        <v>289</v>
      </c>
      <c r="D59" s="224" t="s">
        <v>37</v>
      </c>
      <c r="E59" s="224" t="s">
        <v>38</v>
      </c>
      <c r="F59" s="218" t="s">
        <v>129</v>
      </c>
      <c r="G59" s="60" t="s">
        <v>39</v>
      </c>
      <c r="H59" s="128" t="s">
        <v>256</v>
      </c>
      <c r="I59" s="48">
        <f>2506.271+1479.516</f>
        <v>3985.7870000000003</v>
      </c>
      <c r="J59" s="48">
        <f>2506.271</f>
        <v>2506.271</v>
      </c>
      <c r="K59" s="48">
        <f>2506.271</f>
        <v>2506.271</v>
      </c>
      <c r="L59" s="80">
        <f t="shared" si="3"/>
        <v>8998.329000000002</v>
      </c>
      <c r="M59" s="215" t="s">
        <v>82</v>
      </c>
    </row>
    <row r="60" spans="1:13" ht="15.75">
      <c r="A60" s="207"/>
      <c r="B60" s="219"/>
      <c r="C60" s="221"/>
      <c r="D60" s="224"/>
      <c r="E60" s="224"/>
      <c r="F60" s="226"/>
      <c r="G60" s="60" t="s">
        <v>40</v>
      </c>
      <c r="H60" s="128" t="s">
        <v>257</v>
      </c>
      <c r="I60" s="48">
        <f>204.105+0.16</f>
        <v>204.265</v>
      </c>
      <c r="J60" s="48">
        <f>204.105</f>
        <v>204.105</v>
      </c>
      <c r="K60" s="48">
        <f>204.105</f>
        <v>204.105</v>
      </c>
      <c r="L60" s="80">
        <f t="shared" si="3"/>
        <v>612.475</v>
      </c>
      <c r="M60" s="216"/>
    </row>
    <row r="61" spans="1:13" ht="15.75" customHeight="1">
      <c r="A61" s="207"/>
      <c r="B61" s="219"/>
      <c r="C61" s="221"/>
      <c r="D61" s="224"/>
      <c r="E61" s="224"/>
      <c r="F61" s="226"/>
      <c r="G61" s="60" t="s">
        <v>106</v>
      </c>
      <c r="H61" s="128" t="s">
        <v>258</v>
      </c>
      <c r="I61" s="48">
        <f>756.894+451.712</f>
        <v>1208.606</v>
      </c>
      <c r="J61" s="48">
        <f>756.894</f>
        <v>756.894</v>
      </c>
      <c r="K61" s="48">
        <f>756.894</f>
        <v>756.894</v>
      </c>
      <c r="L61" s="80">
        <f t="shared" si="3"/>
        <v>2722.3940000000002</v>
      </c>
      <c r="M61" s="216"/>
    </row>
    <row r="62" spans="1:13" ht="15.75">
      <c r="A62" s="207"/>
      <c r="B62" s="219"/>
      <c r="C62" s="221"/>
      <c r="D62" s="224"/>
      <c r="E62" s="224"/>
      <c r="F62" s="226"/>
      <c r="G62" s="60" t="s">
        <v>37</v>
      </c>
      <c r="H62" s="128" t="s">
        <v>259</v>
      </c>
      <c r="I62" s="48">
        <f>2136.794</f>
        <v>2136.794</v>
      </c>
      <c r="J62" s="48">
        <f>2136.794</f>
        <v>2136.794</v>
      </c>
      <c r="K62" s="48">
        <f>2136.794</f>
        <v>2136.794</v>
      </c>
      <c r="L62" s="80">
        <f t="shared" si="3"/>
        <v>6410.382</v>
      </c>
      <c r="M62" s="216"/>
    </row>
    <row r="63" spans="1:15" ht="15.75">
      <c r="A63" s="207"/>
      <c r="B63" s="219"/>
      <c r="C63" s="221"/>
      <c r="D63" s="224"/>
      <c r="E63" s="224"/>
      <c r="F63" s="227"/>
      <c r="G63" s="60" t="s">
        <v>41</v>
      </c>
      <c r="H63" s="128" t="s">
        <v>260</v>
      </c>
      <c r="I63" s="48">
        <v>2</v>
      </c>
      <c r="J63" s="48">
        <v>2</v>
      </c>
      <c r="K63" s="48">
        <v>2</v>
      </c>
      <c r="L63" s="80">
        <f t="shared" si="3"/>
        <v>6</v>
      </c>
      <c r="M63" s="216"/>
      <c r="O63" s="183"/>
    </row>
    <row r="64" spans="1:13" ht="15.75">
      <c r="A64" s="200"/>
      <c r="B64" s="198"/>
      <c r="C64" s="211" t="s">
        <v>43</v>
      </c>
      <c r="D64" s="212"/>
      <c r="E64" s="212"/>
      <c r="F64" s="212"/>
      <c r="G64" s="213"/>
      <c r="H64" s="48">
        <f>H59+H60+H61+H62+H63</f>
        <v>14424.903000000002</v>
      </c>
      <c r="I64" s="48">
        <f>I59+I60+I61+I62+I63</f>
        <v>7537.452</v>
      </c>
      <c r="J64" s="48">
        <f>J59+J60+J61+J62+J63</f>
        <v>5606.064</v>
      </c>
      <c r="K64" s="48">
        <f>K59+K60+K61+K62+K63</f>
        <v>5606.064</v>
      </c>
      <c r="L64" s="48">
        <f t="shared" si="3"/>
        <v>18749.58</v>
      </c>
      <c r="M64" s="216"/>
    </row>
    <row r="65" spans="1:13" ht="31.5" customHeight="1">
      <c r="A65" s="199">
        <f>A59+1</f>
        <v>15</v>
      </c>
      <c r="B65" s="197" t="s">
        <v>97</v>
      </c>
      <c r="C65" s="41" t="s">
        <v>36</v>
      </c>
      <c r="D65" s="60" t="s">
        <v>37</v>
      </c>
      <c r="E65" s="60" t="s">
        <v>38</v>
      </c>
      <c r="F65" s="53" t="s">
        <v>130</v>
      </c>
      <c r="G65" s="60" t="s">
        <v>37</v>
      </c>
      <c r="H65" s="130">
        <v>176.9</v>
      </c>
      <c r="I65" s="48">
        <v>100.5</v>
      </c>
      <c r="J65" s="48">
        <f>208.361</f>
        <v>208.361</v>
      </c>
      <c r="K65" s="48">
        <f>216.487</f>
        <v>216.487</v>
      </c>
      <c r="L65" s="80">
        <f t="shared" si="3"/>
        <v>525.348</v>
      </c>
      <c r="M65" s="216"/>
    </row>
    <row r="66" spans="1:13" ht="15.75">
      <c r="A66" s="200"/>
      <c r="B66" s="198"/>
      <c r="C66" s="211" t="s">
        <v>48</v>
      </c>
      <c r="D66" s="212"/>
      <c r="E66" s="212"/>
      <c r="F66" s="212"/>
      <c r="G66" s="213"/>
      <c r="H66" s="129">
        <f>H65</f>
        <v>176.9</v>
      </c>
      <c r="I66" s="48">
        <f>I65</f>
        <v>100.5</v>
      </c>
      <c r="J66" s="48">
        <f>J65</f>
        <v>208.361</v>
      </c>
      <c r="K66" s="48">
        <f>K65</f>
        <v>216.487</v>
      </c>
      <c r="L66" s="80">
        <f t="shared" si="3"/>
        <v>525.348</v>
      </c>
      <c r="M66" s="216"/>
    </row>
    <row r="67" spans="1:13" ht="31.5" customHeight="1">
      <c r="A67" s="199">
        <f>A65+1</f>
        <v>16</v>
      </c>
      <c r="B67" s="197" t="s">
        <v>95</v>
      </c>
      <c r="C67" s="41" t="s">
        <v>36</v>
      </c>
      <c r="D67" s="60" t="s">
        <v>37</v>
      </c>
      <c r="E67" s="60" t="s">
        <v>38</v>
      </c>
      <c r="F67" s="53" t="s">
        <v>111</v>
      </c>
      <c r="G67" s="60" t="s">
        <v>37</v>
      </c>
      <c r="H67" s="130">
        <v>0</v>
      </c>
      <c r="I67" s="48">
        <v>0</v>
      </c>
      <c r="J67" s="80">
        <f aca="true" t="shared" si="4" ref="J67:K71">I67</f>
        <v>0</v>
      </c>
      <c r="K67" s="80">
        <f t="shared" si="4"/>
        <v>0</v>
      </c>
      <c r="L67" s="80">
        <f>SUM(I67:K67)</f>
        <v>0</v>
      </c>
      <c r="M67" s="216"/>
    </row>
    <row r="68" spans="1:13" ht="15.75">
      <c r="A68" s="200"/>
      <c r="B68" s="198"/>
      <c r="C68" s="211" t="s">
        <v>49</v>
      </c>
      <c r="D68" s="212"/>
      <c r="E68" s="212"/>
      <c r="F68" s="212"/>
      <c r="G68" s="213"/>
      <c r="H68" s="129">
        <f>H67</f>
        <v>0</v>
      </c>
      <c r="I68" s="48">
        <f>I67</f>
        <v>0</v>
      </c>
      <c r="J68" s="80">
        <f t="shared" si="4"/>
        <v>0</v>
      </c>
      <c r="K68" s="80">
        <f t="shared" si="4"/>
        <v>0</v>
      </c>
      <c r="L68" s="80">
        <f>SUM(I68:K68)</f>
        <v>0</v>
      </c>
      <c r="M68" s="216"/>
    </row>
    <row r="69" spans="1:13" ht="47.25">
      <c r="A69" s="199">
        <f>A67+1</f>
        <v>17</v>
      </c>
      <c r="B69" s="197" t="s">
        <v>96</v>
      </c>
      <c r="C69" s="41" t="s">
        <v>36</v>
      </c>
      <c r="D69" s="60" t="s">
        <v>37</v>
      </c>
      <c r="E69" s="60" t="s">
        <v>38</v>
      </c>
      <c r="F69" s="53" t="s">
        <v>112</v>
      </c>
      <c r="G69" s="60" t="s">
        <v>37</v>
      </c>
      <c r="H69" s="130">
        <v>200</v>
      </c>
      <c r="I69" s="48">
        <v>200</v>
      </c>
      <c r="J69" s="80">
        <v>0</v>
      </c>
      <c r="K69" s="80">
        <v>0</v>
      </c>
      <c r="L69" s="80">
        <f>SUM(I69:K69)</f>
        <v>200</v>
      </c>
      <c r="M69" s="216"/>
    </row>
    <row r="70" spans="1:13" ht="15.75">
      <c r="A70" s="200"/>
      <c r="B70" s="198"/>
      <c r="C70" s="211" t="s">
        <v>89</v>
      </c>
      <c r="D70" s="212"/>
      <c r="E70" s="212"/>
      <c r="F70" s="212"/>
      <c r="G70" s="213"/>
      <c r="H70" s="129">
        <f>H69</f>
        <v>200</v>
      </c>
      <c r="I70" s="48">
        <f>I69</f>
        <v>200</v>
      </c>
      <c r="J70" s="80">
        <v>0</v>
      </c>
      <c r="K70" s="80">
        <v>0</v>
      </c>
      <c r="L70" s="80">
        <f>SUM(I70:K70)</f>
        <v>200</v>
      </c>
      <c r="M70" s="217"/>
    </row>
    <row r="71" spans="1:13" ht="15.75">
      <c r="A71" s="75">
        <f>A69+1</f>
        <v>18</v>
      </c>
      <c r="B71" s="61" t="s">
        <v>22</v>
      </c>
      <c r="C71" s="62" t="s">
        <v>28</v>
      </c>
      <c r="D71" s="60" t="s">
        <v>28</v>
      </c>
      <c r="E71" s="60" t="s">
        <v>28</v>
      </c>
      <c r="F71" s="60" t="s">
        <v>28</v>
      </c>
      <c r="G71" s="60" t="s">
        <v>28</v>
      </c>
      <c r="H71" s="85" t="s">
        <v>28</v>
      </c>
      <c r="I71" s="85" t="s">
        <v>28</v>
      </c>
      <c r="J71" s="80" t="str">
        <f t="shared" si="4"/>
        <v>х</v>
      </c>
      <c r="K71" s="80" t="str">
        <f t="shared" si="4"/>
        <v>х</v>
      </c>
      <c r="L71" s="80">
        <f>SUM(H71:K71)</f>
        <v>0</v>
      </c>
      <c r="M71" s="58" t="s">
        <v>28</v>
      </c>
    </row>
    <row r="72" spans="1:13" ht="52.5" customHeight="1">
      <c r="A72" s="75">
        <f>A71+1</f>
        <v>19</v>
      </c>
      <c r="B72" s="55"/>
      <c r="C72" s="41" t="s">
        <v>36</v>
      </c>
      <c r="D72" s="60" t="s">
        <v>37</v>
      </c>
      <c r="E72" s="60" t="s">
        <v>28</v>
      </c>
      <c r="F72" s="60" t="s">
        <v>28</v>
      </c>
      <c r="G72" s="60" t="s">
        <v>28</v>
      </c>
      <c r="H72" s="48">
        <f>H16</f>
        <v>50749.617</v>
      </c>
      <c r="I72" s="48">
        <f>I16</f>
        <v>51668.831</v>
      </c>
      <c r="J72" s="48">
        <f>J16</f>
        <v>29299.997000000003</v>
      </c>
      <c r="K72" s="48">
        <f>K16</f>
        <v>29308.691000000003</v>
      </c>
      <c r="L72" s="80">
        <f>I72+J72+K72</f>
        <v>110277.51900000001</v>
      </c>
      <c r="M72" s="41" t="s">
        <v>28</v>
      </c>
    </row>
    <row r="73" spans="2:13" ht="15.75">
      <c r="B73" s="12"/>
      <c r="C73" s="9"/>
      <c r="D73" s="22"/>
      <c r="E73" s="22"/>
      <c r="F73" s="22"/>
      <c r="G73" s="22"/>
      <c r="H73" s="22"/>
      <c r="I73" s="32"/>
      <c r="J73" s="32"/>
      <c r="K73" s="32"/>
      <c r="L73" s="32"/>
      <c r="M73" s="9"/>
    </row>
    <row r="74" spans="2:13" ht="15.75" hidden="1">
      <c r="B74" s="6" t="s">
        <v>76</v>
      </c>
      <c r="C74" s="6" t="s">
        <v>75</v>
      </c>
      <c r="D74" s="23"/>
      <c r="E74" s="24"/>
      <c r="F74" s="24"/>
      <c r="G74" s="24"/>
      <c r="H74" s="24"/>
      <c r="I74" s="33"/>
      <c r="J74" s="33"/>
      <c r="K74" s="33"/>
      <c r="L74" s="32"/>
      <c r="M74" s="9"/>
    </row>
    <row r="75" spans="2:13" ht="15.75" hidden="1">
      <c r="B75" s="214"/>
      <c r="C75" s="214"/>
      <c r="D75" s="214"/>
      <c r="E75" s="24"/>
      <c r="F75" s="24"/>
      <c r="G75" s="24"/>
      <c r="H75" s="24"/>
      <c r="I75" s="225"/>
      <c r="J75" s="225"/>
      <c r="K75" s="33"/>
      <c r="L75" s="32"/>
      <c r="M75" s="9"/>
    </row>
    <row r="76" spans="2:13" ht="15.75">
      <c r="B76" s="3"/>
      <c r="C76" s="3"/>
      <c r="D76" s="25"/>
      <c r="E76" s="24"/>
      <c r="F76" s="24"/>
      <c r="G76" s="24"/>
      <c r="H76" s="24"/>
      <c r="I76" s="33"/>
      <c r="J76" s="33"/>
      <c r="K76" s="33"/>
      <c r="L76" s="32"/>
      <c r="M76" s="9"/>
    </row>
    <row r="77" spans="2:13" ht="15.75">
      <c r="B77" s="5"/>
      <c r="C77" s="8"/>
      <c r="D77" s="26"/>
      <c r="E77" s="26"/>
      <c r="F77" s="26"/>
      <c r="G77" s="26"/>
      <c r="H77" s="135"/>
      <c r="I77" s="34"/>
      <c r="J77" s="34"/>
      <c r="K77" s="34"/>
      <c r="L77" s="32"/>
      <c r="M77" s="9"/>
    </row>
    <row r="78" spans="2:13" ht="15.75">
      <c r="B78" s="214"/>
      <c r="C78" s="214"/>
      <c r="D78" s="214"/>
      <c r="E78" s="24"/>
      <c r="F78" s="24"/>
      <c r="G78" s="24"/>
      <c r="H78" s="24"/>
      <c r="I78" s="33"/>
      <c r="J78" s="33"/>
      <c r="K78" s="33"/>
      <c r="L78" s="31"/>
      <c r="M78" s="4"/>
    </row>
    <row r="79" spans="2:13" ht="18.75">
      <c r="B79" s="214"/>
      <c r="C79" s="214"/>
      <c r="D79" s="214"/>
      <c r="E79" s="24"/>
      <c r="F79" s="24"/>
      <c r="G79" s="24"/>
      <c r="H79" s="24"/>
      <c r="I79" s="90"/>
      <c r="J79" s="92"/>
      <c r="K79" s="90"/>
      <c r="L79" s="31"/>
      <c r="M79" s="4"/>
    </row>
    <row r="80" spans="2:14" ht="18.75">
      <c r="B80" s="214"/>
      <c r="C80" s="214"/>
      <c r="D80" s="214"/>
      <c r="E80" s="24"/>
      <c r="F80" s="24"/>
      <c r="G80" s="24"/>
      <c r="H80" s="24"/>
      <c r="I80" s="91"/>
      <c r="J80" s="91"/>
      <c r="K80" s="92"/>
      <c r="L80" s="86"/>
      <c r="M80" s="208"/>
      <c r="N80" s="208"/>
    </row>
    <row r="81" spans="2:13" ht="18.75">
      <c r="B81" s="4"/>
      <c r="C81" s="4"/>
      <c r="D81" s="19"/>
      <c r="E81" s="19"/>
      <c r="F81" s="19"/>
      <c r="G81" s="19"/>
      <c r="H81" s="19"/>
      <c r="I81" s="93"/>
      <c r="J81" s="93"/>
      <c r="K81" s="93"/>
      <c r="L81" s="31"/>
      <c r="M81" s="4"/>
    </row>
    <row r="82" spans="2:13" ht="18.75">
      <c r="B82" s="4"/>
      <c r="C82" s="4"/>
      <c r="D82" s="19"/>
      <c r="E82" s="19"/>
      <c r="F82" s="19"/>
      <c r="G82" s="19"/>
      <c r="H82" s="134"/>
      <c r="I82" s="94"/>
      <c r="J82" s="94"/>
      <c r="K82" s="94"/>
      <c r="L82" s="31"/>
      <c r="M82" s="4"/>
    </row>
    <row r="83" spans="2:13" ht="18.75">
      <c r="B83" s="4"/>
      <c r="C83" s="4"/>
      <c r="D83" s="19"/>
      <c r="E83" s="19"/>
      <c r="F83" s="19"/>
      <c r="G83" s="19"/>
      <c r="H83" s="19"/>
      <c r="I83" s="94"/>
      <c r="J83" s="94"/>
      <c r="K83" s="95"/>
      <c r="L83" s="31"/>
      <c r="M83" s="4"/>
    </row>
    <row r="84" spans="2:13" ht="18.75">
      <c r="B84" s="4"/>
      <c r="C84" s="4"/>
      <c r="D84" s="19"/>
      <c r="E84" s="19"/>
      <c r="F84" s="19"/>
      <c r="G84" s="19"/>
      <c r="H84" s="19"/>
      <c r="I84" s="94"/>
      <c r="J84" s="94"/>
      <c r="K84" s="94"/>
      <c r="L84" s="31"/>
      <c r="M84" s="4"/>
    </row>
    <row r="85" spans="2:13" ht="18.75">
      <c r="B85" s="4"/>
      <c r="C85" s="4"/>
      <c r="D85" s="19"/>
      <c r="E85" s="19"/>
      <c r="F85" s="19"/>
      <c r="G85" s="19"/>
      <c r="H85" s="19"/>
      <c r="I85" s="95"/>
      <c r="J85" s="94"/>
      <c r="K85" s="95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87"/>
      <c r="J86" s="87"/>
      <c r="K86" s="87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87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87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87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  <row r="101" spans="2:13" ht="15.75">
      <c r="B101" s="4"/>
      <c r="C101" s="4"/>
      <c r="D101" s="19"/>
      <c r="E101" s="19"/>
      <c r="F101" s="19"/>
      <c r="G101" s="19"/>
      <c r="H101" s="19"/>
      <c r="I101" s="31"/>
      <c r="J101" s="31"/>
      <c r="K101" s="31"/>
      <c r="L101" s="31"/>
      <c r="M101" s="4"/>
    </row>
    <row r="102" spans="2:13" ht="15.75">
      <c r="B102" s="4"/>
      <c r="C102" s="4"/>
      <c r="D102" s="19"/>
      <c r="E102" s="19"/>
      <c r="F102" s="19"/>
      <c r="G102" s="19"/>
      <c r="H102" s="19"/>
      <c r="I102" s="31"/>
      <c r="J102" s="31"/>
      <c r="K102" s="31"/>
      <c r="L102" s="31"/>
      <c r="M102" s="4"/>
    </row>
    <row r="103" spans="2:13" ht="15.75">
      <c r="B103" s="4"/>
      <c r="C103" s="4"/>
      <c r="D103" s="19"/>
      <c r="E103" s="19"/>
      <c r="F103" s="19"/>
      <c r="G103" s="19"/>
      <c r="H103" s="19"/>
      <c r="I103" s="31"/>
      <c r="J103" s="31"/>
      <c r="K103" s="31"/>
      <c r="L103" s="31"/>
      <c r="M103" s="4"/>
    </row>
    <row r="104" spans="2:13" ht="15.75">
      <c r="B104" s="4"/>
      <c r="C104" s="4"/>
      <c r="D104" s="19"/>
      <c r="E104" s="19"/>
      <c r="F104" s="19"/>
      <c r="G104" s="19"/>
      <c r="H104" s="19"/>
      <c r="I104" s="31"/>
      <c r="J104" s="31"/>
      <c r="K104" s="31"/>
      <c r="L104" s="31"/>
      <c r="M104" s="4"/>
    </row>
    <row r="105" spans="2:13" ht="15.75">
      <c r="B105" s="4"/>
      <c r="C105" s="4"/>
      <c r="D105" s="19"/>
      <c r="E105" s="19"/>
      <c r="F105" s="19"/>
      <c r="G105" s="19"/>
      <c r="H105" s="19"/>
      <c r="I105" s="31"/>
      <c r="J105" s="31"/>
      <c r="K105" s="31"/>
      <c r="L105" s="31"/>
      <c r="M105" s="4"/>
    </row>
    <row r="106" spans="2:13" ht="15.75">
      <c r="B106" s="4"/>
      <c r="C106" s="4"/>
      <c r="D106" s="19"/>
      <c r="E106" s="19"/>
      <c r="F106" s="19"/>
      <c r="G106" s="19"/>
      <c r="H106" s="19"/>
      <c r="I106" s="31"/>
      <c r="J106" s="31"/>
      <c r="K106" s="31"/>
      <c r="L106" s="31"/>
      <c r="M106" s="4"/>
    </row>
    <row r="107" spans="2:13" ht="15.75">
      <c r="B107" s="4"/>
      <c r="C107" s="4"/>
      <c r="D107" s="19"/>
      <c r="E107" s="19"/>
      <c r="F107" s="19"/>
      <c r="G107" s="19"/>
      <c r="H107" s="19"/>
      <c r="I107" s="31"/>
      <c r="J107" s="31"/>
      <c r="K107" s="31"/>
      <c r="L107" s="31"/>
      <c r="M107" s="4"/>
    </row>
    <row r="108" spans="2:13" ht="15.75">
      <c r="B108" s="4"/>
      <c r="C108" s="4"/>
      <c r="D108" s="19"/>
      <c r="E108" s="19"/>
      <c r="F108" s="19"/>
      <c r="G108" s="19"/>
      <c r="H108" s="19"/>
      <c r="I108" s="31"/>
      <c r="J108" s="31"/>
      <c r="K108" s="31"/>
      <c r="L108" s="31"/>
      <c r="M108" s="4"/>
    </row>
    <row r="109" spans="2:13" ht="15.75">
      <c r="B109" s="4"/>
      <c r="C109" s="4"/>
      <c r="D109" s="19"/>
      <c r="E109" s="19"/>
      <c r="F109" s="19"/>
      <c r="G109" s="19"/>
      <c r="H109" s="19"/>
      <c r="I109" s="31"/>
      <c r="J109" s="31"/>
      <c r="K109" s="31"/>
      <c r="L109" s="31"/>
      <c r="M109" s="4"/>
    </row>
    <row r="110" spans="2:13" ht="15.75">
      <c r="B110" s="4"/>
      <c r="C110" s="4"/>
      <c r="D110" s="19"/>
      <c r="E110" s="19"/>
      <c r="F110" s="19"/>
      <c r="G110" s="19"/>
      <c r="H110" s="19"/>
      <c r="I110" s="31"/>
      <c r="J110" s="31"/>
      <c r="K110" s="31"/>
      <c r="L110" s="31"/>
      <c r="M110" s="4"/>
    </row>
    <row r="111" spans="2:13" ht="15.75">
      <c r="B111" s="4"/>
      <c r="C111" s="4"/>
      <c r="D111" s="19"/>
      <c r="E111" s="19"/>
      <c r="F111" s="19"/>
      <c r="G111" s="19"/>
      <c r="H111" s="19"/>
      <c r="I111" s="31"/>
      <c r="J111" s="31"/>
      <c r="K111" s="31"/>
      <c r="L111" s="31"/>
      <c r="M111" s="4"/>
    </row>
    <row r="112" spans="2:13" ht="15.75">
      <c r="B112" s="4"/>
      <c r="C112" s="4"/>
      <c r="D112" s="19"/>
      <c r="E112" s="19"/>
      <c r="F112" s="19"/>
      <c r="G112" s="19"/>
      <c r="H112" s="19"/>
      <c r="I112" s="31"/>
      <c r="J112" s="31"/>
      <c r="K112" s="31"/>
      <c r="L112" s="31"/>
      <c r="M112" s="4"/>
    </row>
    <row r="113" spans="2:13" ht="15.75">
      <c r="B113" s="4"/>
      <c r="C113" s="4"/>
      <c r="D113" s="19"/>
      <c r="E113" s="19"/>
      <c r="F113" s="19"/>
      <c r="G113" s="19"/>
      <c r="H113" s="19"/>
      <c r="I113" s="31"/>
      <c r="J113" s="31"/>
      <c r="K113" s="31"/>
      <c r="L113" s="31"/>
      <c r="M113" s="4"/>
    </row>
    <row r="114" spans="2:13" ht="15.75">
      <c r="B114" s="4"/>
      <c r="C114" s="4"/>
      <c r="D114" s="19"/>
      <c r="E114" s="19"/>
      <c r="F114" s="19"/>
      <c r="G114" s="19"/>
      <c r="H114" s="19"/>
      <c r="I114" s="31"/>
      <c r="J114" s="31"/>
      <c r="K114" s="31"/>
      <c r="L114" s="31"/>
      <c r="M114" s="4"/>
    </row>
    <row r="115" spans="2:13" ht="15.75">
      <c r="B115" s="4"/>
      <c r="C115" s="4"/>
      <c r="D115" s="19"/>
      <c r="E115" s="19"/>
      <c r="F115" s="19"/>
      <c r="G115" s="19"/>
      <c r="H115" s="19"/>
      <c r="I115" s="31"/>
      <c r="J115" s="31"/>
      <c r="K115" s="31"/>
      <c r="L115" s="31"/>
      <c r="M115" s="4"/>
    </row>
    <row r="116" spans="2:13" ht="15.75">
      <c r="B116" s="4"/>
      <c r="C116" s="4"/>
      <c r="D116" s="19"/>
      <c r="E116" s="19"/>
      <c r="F116" s="19"/>
      <c r="G116" s="19"/>
      <c r="H116" s="19"/>
      <c r="I116" s="31"/>
      <c r="J116" s="31"/>
      <c r="K116" s="31"/>
      <c r="L116" s="31"/>
      <c r="M116" s="4"/>
    </row>
    <row r="117" spans="2:13" ht="15.75">
      <c r="B117" s="4"/>
      <c r="C117" s="4"/>
      <c r="D117" s="19"/>
      <c r="E117" s="19"/>
      <c r="F117" s="19"/>
      <c r="G117" s="19"/>
      <c r="H117" s="19"/>
      <c r="I117" s="31"/>
      <c r="J117" s="31"/>
      <c r="K117" s="31"/>
      <c r="L117" s="31"/>
      <c r="M117" s="4"/>
    </row>
    <row r="118" spans="2:13" ht="15.75">
      <c r="B118" s="4"/>
      <c r="C118" s="4"/>
      <c r="D118" s="19"/>
      <c r="E118" s="19"/>
      <c r="F118" s="19"/>
      <c r="G118" s="19"/>
      <c r="H118" s="19"/>
      <c r="I118" s="31"/>
      <c r="J118" s="31"/>
      <c r="K118" s="31"/>
      <c r="L118" s="31"/>
      <c r="M118" s="4"/>
    </row>
    <row r="119" spans="2:13" ht="15.75">
      <c r="B119" s="4"/>
      <c r="C119" s="4"/>
      <c r="D119" s="19"/>
      <c r="E119" s="19"/>
      <c r="F119" s="19"/>
      <c r="G119" s="19"/>
      <c r="H119" s="19"/>
      <c r="I119" s="31"/>
      <c r="J119" s="31"/>
      <c r="K119" s="31"/>
      <c r="L119" s="31"/>
      <c r="M119" s="4"/>
    </row>
    <row r="120" spans="2:13" ht="15.75">
      <c r="B120" s="4"/>
      <c r="C120" s="4"/>
      <c r="D120" s="19"/>
      <c r="E120" s="19"/>
      <c r="F120" s="19"/>
      <c r="G120" s="19"/>
      <c r="H120" s="19"/>
      <c r="I120" s="31"/>
      <c r="J120" s="31"/>
      <c r="K120" s="31"/>
      <c r="L120" s="31"/>
      <c r="M120" s="4"/>
    </row>
    <row r="121" spans="2:13" ht="15.75">
      <c r="B121" s="4"/>
      <c r="C121" s="4"/>
      <c r="D121" s="19"/>
      <c r="E121" s="19"/>
      <c r="F121" s="19"/>
      <c r="G121" s="19"/>
      <c r="H121" s="19"/>
      <c r="I121" s="31"/>
      <c r="J121" s="31"/>
      <c r="K121" s="31"/>
      <c r="L121" s="31"/>
      <c r="M121" s="4"/>
    </row>
    <row r="122" spans="2:13" ht="15.75">
      <c r="B122" s="4"/>
      <c r="C122" s="4"/>
      <c r="D122" s="19"/>
      <c r="E122" s="19"/>
      <c r="F122" s="19"/>
      <c r="G122" s="19"/>
      <c r="H122" s="19"/>
      <c r="I122" s="31"/>
      <c r="J122" s="31"/>
      <c r="K122" s="31"/>
      <c r="L122" s="31"/>
      <c r="M122" s="4"/>
    </row>
    <row r="123" spans="2:13" ht="15.75">
      <c r="B123" s="4"/>
      <c r="C123" s="4"/>
      <c r="D123" s="19"/>
      <c r="E123" s="19"/>
      <c r="F123" s="19"/>
      <c r="G123" s="19"/>
      <c r="H123" s="19"/>
      <c r="I123" s="31"/>
      <c r="J123" s="31"/>
      <c r="K123" s="31"/>
      <c r="L123" s="31"/>
      <c r="M123" s="4"/>
    </row>
    <row r="124" spans="2:13" ht="15.75">
      <c r="B124" s="4"/>
      <c r="C124" s="4"/>
      <c r="D124" s="19"/>
      <c r="E124" s="19"/>
      <c r="F124" s="19"/>
      <c r="G124" s="19"/>
      <c r="H124" s="19"/>
      <c r="I124" s="31"/>
      <c r="J124" s="31"/>
      <c r="K124" s="31"/>
      <c r="L124" s="31"/>
      <c r="M124" s="4"/>
    </row>
    <row r="125" spans="2:13" ht="15.75">
      <c r="B125" s="4"/>
      <c r="C125" s="4"/>
      <c r="D125" s="19"/>
      <c r="E125" s="19"/>
      <c r="F125" s="19"/>
      <c r="G125" s="19"/>
      <c r="H125" s="19"/>
      <c r="I125" s="31"/>
      <c r="J125" s="31"/>
      <c r="K125" s="31"/>
      <c r="L125" s="31"/>
      <c r="M125" s="4"/>
    </row>
    <row r="126" spans="2:13" ht="15.75">
      <c r="B126" s="4"/>
      <c r="C126" s="4"/>
      <c r="D126" s="19"/>
      <c r="E126" s="19"/>
      <c r="F126" s="19"/>
      <c r="G126" s="19"/>
      <c r="H126" s="19"/>
      <c r="I126" s="31"/>
      <c r="J126" s="31"/>
      <c r="K126" s="31"/>
      <c r="L126" s="31"/>
      <c r="M126" s="4"/>
    </row>
    <row r="127" spans="2:13" ht="15.75">
      <c r="B127" s="4"/>
      <c r="C127" s="4"/>
      <c r="D127" s="19"/>
      <c r="E127" s="19"/>
      <c r="F127" s="19"/>
      <c r="G127" s="19"/>
      <c r="H127" s="19"/>
      <c r="I127" s="31"/>
      <c r="J127" s="31"/>
      <c r="K127" s="31"/>
      <c r="L127" s="31"/>
      <c r="M127" s="4"/>
    </row>
    <row r="128" spans="2:13" ht="15.75">
      <c r="B128" s="4"/>
      <c r="C128" s="4"/>
      <c r="D128" s="19"/>
      <c r="E128" s="19"/>
      <c r="F128" s="19"/>
      <c r="G128" s="19"/>
      <c r="H128" s="19"/>
      <c r="I128" s="31"/>
      <c r="J128" s="31"/>
      <c r="K128" s="31"/>
      <c r="L128" s="31"/>
      <c r="M128" s="4"/>
    </row>
  </sheetData>
  <sheetProtection/>
  <mergeCells count="90">
    <mergeCell ref="B48:B49"/>
    <mergeCell ref="A48:A49"/>
    <mergeCell ref="C49:G49"/>
    <mergeCell ref="J1:K1"/>
    <mergeCell ref="J3:M3"/>
    <mergeCell ref="J4:M4"/>
    <mergeCell ref="J2:K2"/>
    <mergeCell ref="J8:M10"/>
    <mergeCell ref="M18:M19"/>
    <mergeCell ref="J5:M5"/>
    <mergeCell ref="B12:M12"/>
    <mergeCell ref="B14:B15"/>
    <mergeCell ref="B18:B19"/>
    <mergeCell ref="B21:B34"/>
    <mergeCell ref="E21:E26"/>
    <mergeCell ref="C14:C15"/>
    <mergeCell ref="M14:M15"/>
    <mergeCell ref="I14:L14"/>
    <mergeCell ref="C27:C33"/>
    <mergeCell ref="D27:D33"/>
    <mergeCell ref="E27:E33"/>
    <mergeCell ref="F27:F33"/>
    <mergeCell ref="C47:G47"/>
    <mergeCell ref="J7:K7"/>
    <mergeCell ref="M59:M70"/>
    <mergeCell ref="C19:G19"/>
    <mergeCell ref="F41:F42"/>
    <mergeCell ref="M37:M56"/>
    <mergeCell ref="M21:M36"/>
    <mergeCell ref="E45:E46"/>
    <mergeCell ref="F45:F46"/>
    <mergeCell ref="C40:G40"/>
    <mergeCell ref="E50:E51"/>
    <mergeCell ref="C38:G38"/>
    <mergeCell ref="I75:J75"/>
    <mergeCell ref="F59:F63"/>
    <mergeCell ref="D59:D63"/>
    <mergeCell ref="C66:G66"/>
    <mergeCell ref="C56:G56"/>
    <mergeCell ref="C50:C51"/>
    <mergeCell ref="C57:G57"/>
    <mergeCell ref="A67:A68"/>
    <mergeCell ref="D50:D51"/>
    <mergeCell ref="C70:G70"/>
    <mergeCell ref="B67:B68"/>
    <mergeCell ref="C64:G64"/>
    <mergeCell ref="E59:E63"/>
    <mergeCell ref="B59:B64"/>
    <mergeCell ref="B65:B66"/>
    <mergeCell ref="A53:A57"/>
    <mergeCell ref="A69:A70"/>
    <mergeCell ref="A41:A47"/>
    <mergeCell ref="A50:A52"/>
    <mergeCell ref="B79:D79"/>
    <mergeCell ref="B78:D78"/>
    <mergeCell ref="A35:A36"/>
    <mergeCell ref="A37:A38"/>
    <mergeCell ref="A39:A40"/>
    <mergeCell ref="B35:B36"/>
    <mergeCell ref="A65:A66"/>
    <mergeCell ref="B39:B40"/>
    <mergeCell ref="C53:C55"/>
    <mergeCell ref="B41:B47"/>
    <mergeCell ref="D41:D46"/>
    <mergeCell ref="B53:B57"/>
    <mergeCell ref="B75:D75"/>
    <mergeCell ref="D53:D55"/>
    <mergeCell ref="C59:C63"/>
    <mergeCell ref="C68:G68"/>
    <mergeCell ref="F50:F51"/>
    <mergeCell ref="M80:N80"/>
    <mergeCell ref="E41:E42"/>
    <mergeCell ref="C52:G52"/>
    <mergeCell ref="B80:D80"/>
    <mergeCell ref="B69:B70"/>
    <mergeCell ref="A59:A64"/>
    <mergeCell ref="C41:C46"/>
    <mergeCell ref="E43:E44"/>
    <mergeCell ref="F43:F44"/>
    <mergeCell ref="B50:B52"/>
    <mergeCell ref="B37:B38"/>
    <mergeCell ref="A14:A15"/>
    <mergeCell ref="C21:C26"/>
    <mergeCell ref="C34:G34"/>
    <mergeCell ref="F21:F26"/>
    <mergeCell ref="D21:D26"/>
    <mergeCell ref="C36:G36"/>
    <mergeCell ref="A18:A19"/>
    <mergeCell ref="A21:A34"/>
    <mergeCell ref="D14:G14"/>
  </mergeCells>
  <printOptions/>
  <pageMargins left="0.71" right="0.27" top="0.49" bottom="0.51" header="0.47" footer="0.53"/>
  <pageSetup horizontalDpi="600" verticalDpi="600" orientation="landscape" paperSize="9" scale="59" r:id="rId1"/>
  <rowBreaks count="2" manualBreakCount="2">
    <brk id="52" max="12" man="1"/>
    <brk id="72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0"/>
  <sheetViews>
    <sheetView view="pageBreakPreview" zoomScale="70" zoomScaleSheetLayoutView="70" zoomScalePageLayoutView="0" workbookViewId="0" topLeftCell="A1">
      <selection activeCell="J5" sqref="J5:M5"/>
    </sheetView>
  </sheetViews>
  <sheetFormatPr defaultColWidth="9.140625" defaultRowHeight="12.75" outlineLevelCol="1"/>
  <cols>
    <col min="1" max="1" width="9.140625" style="74" customWidth="1"/>
    <col min="2" max="2" width="51.421875" style="10" customWidth="1"/>
    <col min="3" max="3" width="26.57421875" style="10" customWidth="1"/>
    <col min="4" max="5" width="9.140625" style="27" customWidth="1"/>
    <col min="6" max="6" width="14.140625" style="27" customWidth="1"/>
    <col min="7" max="7" width="9.8515625" style="27" bestFit="1" customWidth="1"/>
    <col min="8" max="8" width="0.2890625" style="27" customWidth="1" outlineLevel="1"/>
    <col min="9" max="11" width="16.28125" style="35" customWidth="1"/>
    <col min="12" max="12" width="16.57421875" style="35" customWidth="1"/>
    <col min="13" max="13" width="34.8515625" style="10" customWidth="1"/>
    <col min="14" max="14" width="9.140625" style="10" customWidth="1"/>
    <col min="15" max="15" width="14.28125" style="10" bestFit="1" customWidth="1"/>
    <col min="16" max="16384" width="9.140625" style="10" customWidth="1"/>
  </cols>
  <sheetData>
    <row r="2" spans="2:13" ht="15.75">
      <c r="B2" s="4"/>
      <c r="C2" s="4"/>
      <c r="D2" s="19"/>
      <c r="E2" s="19"/>
      <c r="F2" s="19"/>
      <c r="G2" s="19"/>
      <c r="H2" s="19"/>
      <c r="I2" s="76"/>
      <c r="J2" s="214" t="s">
        <v>247</v>
      </c>
      <c r="K2" s="214"/>
      <c r="L2" s="214"/>
      <c r="M2" s="214"/>
    </row>
    <row r="3" spans="2:13" ht="15.75">
      <c r="B3" s="4"/>
      <c r="C3" s="4"/>
      <c r="D3" s="19"/>
      <c r="E3" s="19"/>
      <c r="F3" s="19"/>
      <c r="G3" s="19"/>
      <c r="H3" s="19"/>
      <c r="I3" s="76"/>
      <c r="J3" s="231" t="s">
        <v>282</v>
      </c>
      <c r="K3" s="231"/>
      <c r="L3" s="231"/>
      <c r="M3" s="231"/>
    </row>
    <row r="4" spans="2:13" ht="15.75">
      <c r="B4" s="4"/>
      <c r="C4" s="4"/>
      <c r="D4" s="19"/>
      <c r="E4" s="19"/>
      <c r="F4" s="19"/>
      <c r="G4" s="19"/>
      <c r="H4" s="19"/>
      <c r="I4" s="76"/>
      <c r="J4" s="231" t="s">
        <v>283</v>
      </c>
      <c r="K4" s="231"/>
      <c r="L4" s="231"/>
      <c r="M4" s="231"/>
    </row>
    <row r="5" spans="2:13" ht="15.75">
      <c r="B5" s="4"/>
      <c r="C5" s="4"/>
      <c r="D5" s="19"/>
      <c r="E5" s="19"/>
      <c r="F5" s="19"/>
      <c r="G5" s="19"/>
      <c r="H5" s="19"/>
      <c r="I5" s="76"/>
      <c r="J5" s="231" t="s">
        <v>317</v>
      </c>
      <c r="K5" s="231"/>
      <c r="L5" s="231"/>
      <c r="M5" s="231"/>
    </row>
    <row r="6" spans="2:13" ht="15.75">
      <c r="B6" s="4"/>
      <c r="C6" s="4"/>
      <c r="D6" s="19"/>
      <c r="E6" s="19"/>
      <c r="F6" s="19"/>
      <c r="G6" s="19"/>
      <c r="H6" s="19"/>
      <c r="I6" s="76"/>
      <c r="J6" s="3"/>
      <c r="K6" s="3"/>
      <c r="L6" s="3"/>
      <c r="M6" s="3"/>
    </row>
    <row r="7" spans="2:13" ht="15.75">
      <c r="B7" s="4"/>
      <c r="C7" s="4"/>
      <c r="D7" s="19"/>
      <c r="E7" s="19"/>
      <c r="F7" s="19"/>
      <c r="G7" s="19"/>
      <c r="H7" s="19"/>
      <c r="I7" s="76"/>
      <c r="J7" s="214" t="s">
        <v>247</v>
      </c>
      <c r="K7" s="214"/>
      <c r="L7" s="214"/>
      <c r="M7" s="214"/>
    </row>
    <row r="8" spans="2:13" ht="15.75">
      <c r="B8" s="4"/>
      <c r="C8" s="4"/>
      <c r="D8" s="19"/>
      <c r="E8" s="19"/>
      <c r="F8" s="19"/>
      <c r="G8" s="19"/>
      <c r="H8" s="19"/>
      <c r="I8" s="76"/>
      <c r="J8" s="231" t="s">
        <v>143</v>
      </c>
      <c r="K8" s="231"/>
      <c r="L8" s="231"/>
      <c r="M8" s="231"/>
    </row>
    <row r="9" spans="2:13" ht="15.75">
      <c r="B9" s="4"/>
      <c r="C9" s="4"/>
      <c r="D9" s="19"/>
      <c r="E9" s="19"/>
      <c r="F9" s="19"/>
      <c r="G9" s="19"/>
      <c r="H9" s="19"/>
      <c r="I9" s="76"/>
      <c r="J9" s="231"/>
      <c r="K9" s="231"/>
      <c r="L9" s="231"/>
      <c r="M9" s="231"/>
    </row>
    <row r="10" spans="2:13" ht="15.75">
      <c r="B10" s="4"/>
      <c r="C10" s="4"/>
      <c r="D10" s="19"/>
      <c r="E10" s="19"/>
      <c r="F10" s="19"/>
      <c r="G10" s="19"/>
      <c r="H10" s="19"/>
      <c r="I10" s="76"/>
      <c r="J10" s="231"/>
      <c r="K10" s="231"/>
      <c r="L10" s="231"/>
      <c r="M10" s="231"/>
    </row>
    <row r="11" spans="2:13" ht="15.75">
      <c r="B11" s="4"/>
      <c r="C11" s="4"/>
      <c r="D11" s="19"/>
      <c r="E11" s="19"/>
      <c r="F11" s="19"/>
      <c r="G11" s="19"/>
      <c r="H11" s="19"/>
      <c r="I11" s="31"/>
      <c r="J11" s="31"/>
      <c r="K11" s="31"/>
      <c r="L11" s="243"/>
      <c r="M11" s="243"/>
    </row>
    <row r="12" spans="2:13" ht="15.75">
      <c r="B12" s="246" t="s">
        <v>51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</row>
    <row r="13" spans="2:13" ht="15.75">
      <c r="B13" s="4"/>
      <c r="C13" s="4"/>
      <c r="D13" s="19"/>
      <c r="E13" s="19"/>
      <c r="F13" s="19"/>
      <c r="G13" s="19"/>
      <c r="H13" s="19"/>
      <c r="I13" s="31"/>
      <c r="J13" s="31"/>
      <c r="K13" s="31"/>
      <c r="L13" s="31"/>
      <c r="M13" s="4"/>
    </row>
    <row r="14" spans="1:15" ht="33" customHeight="1">
      <c r="A14" s="199" t="s">
        <v>0</v>
      </c>
      <c r="B14" s="221" t="s">
        <v>1</v>
      </c>
      <c r="C14" s="221" t="s">
        <v>2</v>
      </c>
      <c r="D14" s="238" t="s">
        <v>3</v>
      </c>
      <c r="E14" s="238"/>
      <c r="F14" s="238"/>
      <c r="G14" s="238"/>
      <c r="H14" s="240"/>
      <c r="I14" s="241"/>
      <c r="J14" s="241"/>
      <c r="K14" s="241"/>
      <c r="L14" s="242"/>
      <c r="M14" s="221" t="s">
        <v>14</v>
      </c>
      <c r="N14" s="11"/>
      <c r="O14" s="11"/>
    </row>
    <row r="15" spans="1:13" ht="110.25">
      <c r="A15" s="200"/>
      <c r="B15" s="221"/>
      <c r="C15" s="221"/>
      <c r="D15" s="53" t="s">
        <v>4</v>
      </c>
      <c r="E15" s="53" t="s">
        <v>5</v>
      </c>
      <c r="F15" s="53" t="s">
        <v>6</v>
      </c>
      <c r="G15" s="53" t="s">
        <v>7</v>
      </c>
      <c r="H15" s="41" t="s">
        <v>104</v>
      </c>
      <c r="I15" s="41" t="s">
        <v>141</v>
      </c>
      <c r="J15" s="41" t="s">
        <v>142</v>
      </c>
      <c r="K15" s="41" t="s">
        <v>248</v>
      </c>
      <c r="L15" s="54" t="s">
        <v>275</v>
      </c>
      <c r="M15" s="221"/>
    </row>
    <row r="16" spans="1:13" ht="78.75">
      <c r="A16" s="75">
        <v>1</v>
      </c>
      <c r="B16" s="55" t="s">
        <v>52</v>
      </c>
      <c r="C16" s="56" t="s">
        <v>28</v>
      </c>
      <c r="D16" s="57" t="s">
        <v>28</v>
      </c>
      <c r="E16" s="57" t="s">
        <v>28</v>
      </c>
      <c r="F16" s="57" t="s">
        <v>28</v>
      </c>
      <c r="G16" s="57" t="s">
        <v>28</v>
      </c>
      <c r="H16" s="82">
        <f>H17+H37</f>
        <v>67289.9</v>
      </c>
      <c r="I16" s="82">
        <f>I17+I37</f>
        <v>66250.16</v>
      </c>
      <c r="J16" s="82">
        <f>J17+J37</f>
        <v>30450.05</v>
      </c>
      <c r="K16" s="82">
        <f>K17+K37</f>
        <v>30435.484999999997</v>
      </c>
      <c r="L16" s="84">
        <f aca="true" t="shared" si="0" ref="L16:L31">I16+J16+K16</f>
        <v>127135.695</v>
      </c>
      <c r="M16" s="58" t="s">
        <v>28</v>
      </c>
    </row>
    <row r="17" spans="1:13" s="38" customFormat="1" ht="31.5">
      <c r="A17" s="75">
        <v>2</v>
      </c>
      <c r="B17" s="59" t="s">
        <v>53</v>
      </c>
      <c r="C17" s="56" t="s">
        <v>28</v>
      </c>
      <c r="D17" s="57" t="s">
        <v>28</v>
      </c>
      <c r="E17" s="57" t="s">
        <v>28</v>
      </c>
      <c r="F17" s="57" t="s">
        <v>28</v>
      </c>
      <c r="G17" s="57" t="s">
        <v>28</v>
      </c>
      <c r="H17" s="84">
        <f>H30+H32+H34+H36</f>
        <v>67194.9</v>
      </c>
      <c r="I17" s="84">
        <f>I30+I32+I34+I36</f>
        <v>66250.16</v>
      </c>
      <c r="J17" s="84">
        <f>J30+J32+J34+J36</f>
        <v>30450.05</v>
      </c>
      <c r="K17" s="84">
        <f>K30+K32+K34+K36</f>
        <v>30435.484999999997</v>
      </c>
      <c r="L17" s="84">
        <f t="shared" si="0"/>
        <v>127135.695</v>
      </c>
      <c r="M17" s="58" t="s">
        <v>28</v>
      </c>
    </row>
    <row r="18" spans="1:13" ht="15.75" customHeight="1">
      <c r="A18" s="199">
        <v>3</v>
      </c>
      <c r="B18" s="197" t="s">
        <v>54</v>
      </c>
      <c r="C18" s="221" t="s">
        <v>291</v>
      </c>
      <c r="D18" s="224" t="s">
        <v>37</v>
      </c>
      <c r="E18" s="224" t="s">
        <v>38</v>
      </c>
      <c r="F18" s="238" t="s">
        <v>115</v>
      </c>
      <c r="G18" s="60" t="s">
        <v>39</v>
      </c>
      <c r="H18" s="48">
        <f>30002.89+1393.934</f>
        <v>31396.824</v>
      </c>
      <c r="I18" s="48">
        <f>12258.167</f>
        <v>12258.167</v>
      </c>
      <c r="J18" s="48">
        <f>12258.167</f>
        <v>12258.167</v>
      </c>
      <c r="K18" s="48">
        <f>12258.167</f>
        <v>12258.167</v>
      </c>
      <c r="L18" s="48">
        <f t="shared" si="0"/>
        <v>36774.501</v>
      </c>
      <c r="M18" s="215" t="s">
        <v>84</v>
      </c>
    </row>
    <row r="19" spans="1:13" ht="15.75">
      <c r="A19" s="207"/>
      <c r="B19" s="219"/>
      <c r="C19" s="221"/>
      <c r="D19" s="224"/>
      <c r="E19" s="224"/>
      <c r="F19" s="238"/>
      <c r="G19" s="60" t="s">
        <v>40</v>
      </c>
      <c r="H19" s="120" t="s">
        <v>263</v>
      </c>
      <c r="I19" s="48">
        <v>952.39</v>
      </c>
      <c r="J19" s="48">
        <f>652.39</f>
        <v>652.39</v>
      </c>
      <c r="K19" s="48">
        <f>652.39</f>
        <v>652.39</v>
      </c>
      <c r="L19" s="48">
        <f t="shared" si="0"/>
        <v>2257.17</v>
      </c>
      <c r="M19" s="244"/>
    </row>
    <row r="20" spans="1:16" ht="15.75" customHeight="1">
      <c r="A20" s="207"/>
      <c r="B20" s="219"/>
      <c r="C20" s="221"/>
      <c r="D20" s="224"/>
      <c r="E20" s="224"/>
      <c r="F20" s="238"/>
      <c r="G20" s="60" t="s">
        <v>106</v>
      </c>
      <c r="H20" s="48">
        <f>9059.803+420.968</f>
        <v>9480.771</v>
      </c>
      <c r="I20" s="48">
        <f>3701.967+6157.999-4406.773-1751.226</f>
        <v>3701.967</v>
      </c>
      <c r="J20" s="48">
        <v>3701.967</v>
      </c>
      <c r="K20" s="48">
        <f>3701.967</f>
        <v>3701.967</v>
      </c>
      <c r="L20" s="48">
        <f t="shared" si="0"/>
        <v>11105.901</v>
      </c>
      <c r="M20" s="244"/>
      <c r="P20" s="183"/>
    </row>
    <row r="21" spans="1:13" ht="15.75">
      <c r="A21" s="207"/>
      <c r="B21" s="219"/>
      <c r="C21" s="221"/>
      <c r="D21" s="224"/>
      <c r="E21" s="224"/>
      <c r="F21" s="238"/>
      <c r="G21" s="60" t="s">
        <v>37</v>
      </c>
      <c r="H21" s="120" t="s">
        <v>264</v>
      </c>
      <c r="I21" s="48">
        <v>14667.367</v>
      </c>
      <c r="J21" s="48">
        <f>13045.152</f>
        <v>13045.152</v>
      </c>
      <c r="K21" s="48">
        <f>13011.5</f>
        <v>13011.5</v>
      </c>
      <c r="L21" s="48">
        <f t="shared" si="0"/>
        <v>40724.019</v>
      </c>
      <c r="M21" s="244"/>
    </row>
    <row r="22" spans="1:13" ht="15.75">
      <c r="A22" s="207"/>
      <c r="B22" s="219"/>
      <c r="C22" s="221"/>
      <c r="D22" s="224"/>
      <c r="E22" s="224"/>
      <c r="F22" s="238"/>
      <c r="G22" s="60" t="s">
        <v>41</v>
      </c>
      <c r="H22" s="48">
        <f>14+1.8</f>
        <v>15.8</v>
      </c>
      <c r="I22" s="48">
        <v>3</v>
      </c>
      <c r="J22" s="80">
        <v>3</v>
      </c>
      <c r="K22" s="80">
        <v>3</v>
      </c>
      <c r="L22" s="48">
        <f t="shared" si="0"/>
        <v>9</v>
      </c>
      <c r="M22" s="244"/>
    </row>
    <row r="23" spans="1:15" ht="15.75">
      <c r="A23" s="207"/>
      <c r="B23" s="219"/>
      <c r="C23" s="221"/>
      <c r="D23" s="224"/>
      <c r="E23" s="224"/>
      <c r="F23" s="238"/>
      <c r="G23" s="60" t="s">
        <v>134</v>
      </c>
      <c r="H23" s="48">
        <v>20</v>
      </c>
      <c r="I23" s="48">
        <v>0</v>
      </c>
      <c r="J23" s="80">
        <f>I23</f>
        <v>0</v>
      </c>
      <c r="K23" s="80">
        <f aca="true" t="shared" si="1" ref="K23:K43">J23</f>
        <v>0</v>
      </c>
      <c r="L23" s="48">
        <f t="shared" si="0"/>
        <v>0</v>
      </c>
      <c r="M23" s="244"/>
      <c r="O23" s="183"/>
    </row>
    <row r="24" spans="1:15" ht="15.75">
      <c r="A24" s="207"/>
      <c r="B24" s="219"/>
      <c r="C24" s="221" t="s">
        <v>292</v>
      </c>
      <c r="D24" s="224" t="s">
        <v>37</v>
      </c>
      <c r="E24" s="224" t="s">
        <v>38</v>
      </c>
      <c r="F24" s="238" t="s">
        <v>277</v>
      </c>
      <c r="G24" s="60" t="s">
        <v>39</v>
      </c>
      <c r="H24" s="48"/>
      <c r="I24" s="48">
        <f>5779.565+12074.408</f>
        <v>17853.972999999998</v>
      </c>
      <c r="J24" s="80">
        <v>0</v>
      </c>
      <c r="K24" s="80">
        <v>0</v>
      </c>
      <c r="L24" s="48">
        <f t="shared" si="0"/>
        <v>17853.972999999998</v>
      </c>
      <c r="M24" s="244"/>
      <c r="O24" s="183"/>
    </row>
    <row r="25" spans="1:15" ht="15.75">
      <c r="A25" s="207"/>
      <c r="B25" s="219"/>
      <c r="C25" s="221"/>
      <c r="D25" s="224"/>
      <c r="E25" s="224"/>
      <c r="F25" s="238"/>
      <c r="G25" s="60" t="s">
        <v>40</v>
      </c>
      <c r="H25" s="48"/>
      <c r="I25" s="48">
        <f>338.027+700</f>
        <v>1038.027</v>
      </c>
      <c r="J25" s="80">
        <v>0</v>
      </c>
      <c r="K25" s="80">
        <v>0</v>
      </c>
      <c r="L25" s="48">
        <f t="shared" si="0"/>
        <v>1038.027</v>
      </c>
      <c r="M25" s="244"/>
      <c r="O25" s="183"/>
    </row>
    <row r="26" spans="1:15" ht="15.75">
      <c r="A26" s="207"/>
      <c r="B26" s="219"/>
      <c r="C26" s="221"/>
      <c r="D26" s="224"/>
      <c r="E26" s="224"/>
      <c r="F26" s="238"/>
      <c r="G26" s="60" t="s">
        <v>106</v>
      </c>
      <c r="H26" s="48"/>
      <c r="I26" s="48">
        <f>1745.427+3645.414</f>
        <v>5390.841</v>
      </c>
      <c r="J26" s="80">
        <v>0</v>
      </c>
      <c r="K26" s="80">
        <v>0</v>
      </c>
      <c r="L26" s="48">
        <f t="shared" si="0"/>
        <v>5390.841</v>
      </c>
      <c r="M26" s="244"/>
      <c r="O26" s="183"/>
    </row>
    <row r="27" spans="1:15" ht="15.75">
      <c r="A27" s="207"/>
      <c r="B27" s="219"/>
      <c r="C27" s="221"/>
      <c r="D27" s="224"/>
      <c r="E27" s="224"/>
      <c r="F27" s="238"/>
      <c r="G27" s="60" t="s">
        <v>37</v>
      </c>
      <c r="H27" s="48"/>
      <c r="I27" s="48">
        <f>9428.828+25</f>
        <v>9453.828</v>
      </c>
      <c r="J27" s="80">
        <v>0</v>
      </c>
      <c r="K27" s="80">
        <v>0</v>
      </c>
      <c r="L27" s="48">
        <f t="shared" si="0"/>
        <v>9453.828</v>
      </c>
      <c r="M27" s="244"/>
      <c r="O27" s="183"/>
    </row>
    <row r="28" spans="1:15" ht="15.75">
      <c r="A28" s="207"/>
      <c r="B28" s="219"/>
      <c r="C28" s="221"/>
      <c r="D28" s="224"/>
      <c r="E28" s="224"/>
      <c r="F28" s="238"/>
      <c r="G28" s="60" t="s">
        <v>41</v>
      </c>
      <c r="H28" s="48"/>
      <c r="I28" s="48">
        <v>0</v>
      </c>
      <c r="J28" s="80">
        <v>0</v>
      </c>
      <c r="K28" s="80">
        <v>0</v>
      </c>
      <c r="L28" s="48">
        <f t="shared" si="0"/>
        <v>0</v>
      </c>
      <c r="M28" s="244"/>
      <c r="O28" s="183"/>
    </row>
    <row r="29" spans="1:15" ht="15.75">
      <c r="A29" s="207"/>
      <c r="B29" s="219"/>
      <c r="C29" s="221"/>
      <c r="D29" s="224"/>
      <c r="E29" s="224"/>
      <c r="F29" s="238"/>
      <c r="G29" s="60" t="s">
        <v>134</v>
      </c>
      <c r="H29" s="48"/>
      <c r="I29" s="48">
        <v>0</v>
      </c>
      <c r="J29" s="80">
        <v>0</v>
      </c>
      <c r="K29" s="80">
        <v>0</v>
      </c>
      <c r="L29" s="48">
        <f t="shared" si="0"/>
        <v>0</v>
      </c>
      <c r="M29" s="244"/>
      <c r="O29" s="183"/>
    </row>
    <row r="30" spans="1:13" ht="15.75">
      <c r="A30" s="200"/>
      <c r="B30" s="198"/>
      <c r="C30" s="211" t="s">
        <v>45</v>
      </c>
      <c r="D30" s="212"/>
      <c r="E30" s="212"/>
      <c r="F30" s="212"/>
      <c r="G30" s="213"/>
      <c r="H30" s="48">
        <f>H18+H19+H20+H21+H22+H23</f>
        <v>66321.5</v>
      </c>
      <c r="I30" s="48">
        <f>SUM(I18:I29)</f>
        <v>65319.56</v>
      </c>
      <c r="J30" s="48">
        <f>SUM(J18:J29)</f>
        <v>29660.676</v>
      </c>
      <c r="K30" s="48">
        <f>SUM(K18:K29)</f>
        <v>29627.023999999998</v>
      </c>
      <c r="L30" s="48">
        <f t="shared" si="0"/>
        <v>124607.26000000001</v>
      </c>
      <c r="M30" s="244"/>
    </row>
    <row r="31" spans="1:13" ht="85.5" customHeight="1">
      <c r="A31" s="199">
        <v>4</v>
      </c>
      <c r="B31" s="197" t="s">
        <v>160</v>
      </c>
      <c r="C31" s="41" t="s">
        <v>157</v>
      </c>
      <c r="D31" s="60" t="s">
        <v>37</v>
      </c>
      <c r="E31" s="60" t="s">
        <v>38</v>
      </c>
      <c r="F31" s="53" t="s">
        <v>116</v>
      </c>
      <c r="G31" s="60" t="s">
        <v>37</v>
      </c>
      <c r="H31" s="48">
        <f>538.4+35</f>
        <v>573.4</v>
      </c>
      <c r="I31" s="48">
        <f>549.5+81.1</f>
        <v>630.6</v>
      </c>
      <c r="J31" s="48">
        <f>489.374</f>
        <v>489.374</v>
      </c>
      <c r="K31" s="48">
        <f>508.461</f>
        <v>508.461</v>
      </c>
      <c r="L31" s="48">
        <f t="shared" si="0"/>
        <v>1628.4350000000002</v>
      </c>
      <c r="M31" s="244"/>
    </row>
    <row r="32" spans="1:13" ht="30" customHeight="1">
      <c r="A32" s="200"/>
      <c r="B32" s="198"/>
      <c r="C32" s="211" t="s">
        <v>55</v>
      </c>
      <c r="D32" s="212"/>
      <c r="E32" s="212"/>
      <c r="F32" s="212"/>
      <c r="G32" s="213"/>
      <c r="H32" s="48">
        <f>H31</f>
        <v>573.4</v>
      </c>
      <c r="I32" s="48">
        <f>I31</f>
        <v>630.6</v>
      </c>
      <c r="J32" s="48">
        <f>J31</f>
        <v>489.374</v>
      </c>
      <c r="K32" s="48">
        <f>K31</f>
        <v>508.461</v>
      </c>
      <c r="L32" s="48">
        <f>L31</f>
        <v>1628.4350000000002</v>
      </c>
      <c r="M32" s="244"/>
    </row>
    <row r="33" spans="1:13" ht="85.5" customHeight="1">
      <c r="A33" s="199">
        <v>5</v>
      </c>
      <c r="B33" s="197" t="s">
        <v>99</v>
      </c>
      <c r="C33" s="41" t="s">
        <v>157</v>
      </c>
      <c r="D33" s="60" t="s">
        <v>37</v>
      </c>
      <c r="E33" s="60" t="s">
        <v>38</v>
      </c>
      <c r="F33" s="53" t="s">
        <v>117</v>
      </c>
      <c r="G33" s="60" t="s">
        <v>37</v>
      </c>
      <c r="H33" s="48">
        <v>300</v>
      </c>
      <c r="I33" s="48">
        <v>300</v>
      </c>
      <c r="J33" s="80">
        <f>I33</f>
        <v>300</v>
      </c>
      <c r="K33" s="80">
        <f t="shared" si="1"/>
        <v>300</v>
      </c>
      <c r="L33" s="48">
        <f>SUM(I33:K33)</f>
        <v>900</v>
      </c>
      <c r="M33" s="244"/>
    </row>
    <row r="34" spans="1:13" ht="15.75">
      <c r="A34" s="200"/>
      <c r="B34" s="198"/>
      <c r="C34" s="211" t="s">
        <v>88</v>
      </c>
      <c r="D34" s="212"/>
      <c r="E34" s="212"/>
      <c r="F34" s="212"/>
      <c r="G34" s="213"/>
      <c r="H34" s="48">
        <f>H33</f>
        <v>300</v>
      </c>
      <c r="I34" s="48">
        <f>I33</f>
        <v>300</v>
      </c>
      <c r="J34" s="80">
        <f>I34</f>
        <v>300</v>
      </c>
      <c r="K34" s="80">
        <f t="shared" si="1"/>
        <v>300</v>
      </c>
      <c r="L34" s="48">
        <f>L33</f>
        <v>900</v>
      </c>
      <c r="M34" s="245"/>
    </row>
    <row r="35" spans="1:13" ht="85.5" customHeight="1">
      <c r="A35" s="199">
        <v>6</v>
      </c>
      <c r="B35" s="197" t="s">
        <v>161</v>
      </c>
      <c r="C35" s="41" t="s">
        <v>157</v>
      </c>
      <c r="D35" s="60" t="s">
        <v>37</v>
      </c>
      <c r="E35" s="60" t="s">
        <v>38</v>
      </c>
      <c r="F35" s="53" t="s">
        <v>162</v>
      </c>
      <c r="G35" s="60" t="s">
        <v>37</v>
      </c>
      <c r="H35" s="48">
        <v>0</v>
      </c>
      <c r="I35" s="48">
        <v>0</v>
      </c>
      <c r="J35" s="48">
        <v>0</v>
      </c>
      <c r="K35" s="48">
        <v>0</v>
      </c>
      <c r="L35" s="48">
        <f>I35+J35+K35</f>
        <v>0</v>
      </c>
      <c r="M35" s="81"/>
    </row>
    <row r="36" spans="1:13" ht="15.75">
      <c r="A36" s="200"/>
      <c r="B36" s="198"/>
      <c r="C36" s="211" t="s">
        <v>90</v>
      </c>
      <c r="D36" s="212"/>
      <c r="E36" s="212"/>
      <c r="F36" s="212"/>
      <c r="G36" s="213"/>
      <c r="H36" s="48">
        <f>H35</f>
        <v>0</v>
      </c>
      <c r="I36" s="48">
        <f>I35</f>
        <v>0</v>
      </c>
      <c r="J36" s="48">
        <f>J35</f>
        <v>0</v>
      </c>
      <c r="K36" s="48">
        <f>K35</f>
        <v>0</v>
      </c>
      <c r="L36" s="48">
        <f>I36+J36+K36</f>
        <v>0</v>
      </c>
      <c r="M36" s="81"/>
    </row>
    <row r="37" spans="1:13" s="38" customFormat="1" ht="31.5">
      <c r="A37" s="75">
        <v>7</v>
      </c>
      <c r="B37" s="59" t="s">
        <v>56</v>
      </c>
      <c r="C37" s="56" t="s">
        <v>28</v>
      </c>
      <c r="D37" s="57" t="s">
        <v>28</v>
      </c>
      <c r="E37" s="57" t="s">
        <v>28</v>
      </c>
      <c r="F37" s="57" t="s">
        <v>28</v>
      </c>
      <c r="G37" s="57" t="s">
        <v>28</v>
      </c>
      <c r="H37" s="84">
        <f>H42</f>
        <v>95</v>
      </c>
      <c r="I37" s="84">
        <f>I42</f>
        <v>0</v>
      </c>
      <c r="J37" s="82">
        <f aca="true" t="shared" si="2" ref="J37:J43">I37</f>
        <v>0</v>
      </c>
      <c r="K37" s="82">
        <f t="shared" si="1"/>
        <v>0</v>
      </c>
      <c r="L37" s="84">
        <f>I37+J37+K37</f>
        <v>0</v>
      </c>
      <c r="M37" s="58" t="s">
        <v>28</v>
      </c>
    </row>
    <row r="38" spans="1:13" ht="19.5" customHeight="1">
      <c r="A38" s="199">
        <v>8</v>
      </c>
      <c r="B38" s="197" t="s">
        <v>159</v>
      </c>
      <c r="C38" s="221" t="s">
        <v>157</v>
      </c>
      <c r="D38" s="224" t="s">
        <v>37</v>
      </c>
      <c r="E38" s="224" t="s">
        <v>38</v>
      </c>
      <c r="F38" s="238" t="s">
        <v>158</v>
      </c>
      <c r="G38" s="60" t="s">
        <v>37</v>
      </c>
      <c r="H38" s="48">
        <v>0</v>
      </c>
      <c r="I38" s="48">
        <v>0</v>
      </c>
      <c r="J38" s="80">
        <f t="shared" si="2"/>
        <v>0</v>
      </c>
      <c r="K38" s="80">
        <f t="shared" si="1"/>
        <v>0</v>
      </c>
      <c r="L38" s="48">
        <f>SUM(I38:K38)</f>
        <v>0</v>
      </c>
      <c r="M38" s="215" t="s">
        <v>131</v>
      </c>
    </row>
    <row r="39" spans="1:13" ht="19.5" customHeight="1">
      <c r="A39" s="207"/>
      <c r="B39" s="219"/>
      <c r="C39" s="221"/>
      <c r="D39" s="224"/>
      <c r="E39" s="224"/>
      <c r="F39" s="224"/>
      <c r="G39" s="60" t="s">
        <v>61</v>
      </c>
      <c r="H39" s="48">
        <v>0</v>
      </c>
      <c r="I39" s="48">
        <v>0</v>
      </c>
      <c r="J39" s="80">
        <f t="shared" si="2"/>
        <v>0</v>
      </c>
      <c r="K39" s="80">
        <f t="shared" si="1"/>
        <v>0</v>
      </c>
      <c r="L39" s="48">
        <f>SUM(I39:K39)</f>
        <v>0</v>
      </c>
      <c r="M39" s="216"/>
    </row>
    <row r="40" spans="1:13" ht="19.5" customHeight="1">
      <c r="A40" s="207"/>
      <c r="B40" s="219"/>
      <c r="C40" s="221"/>
      <c r="D40" s="224"/>
      <c r="E40" s="209" t="s">
        <v>60</v>
      </c>
      <c r="F40" s="224"/>
      <c r="G40" s="60" t="s">
        <v>37</v>
      </c>
      <c r="H40" s="48">
        <v>95</v>
      </c>
      <c r="I40" s="48">
        <v>0</v>
      </c>
      <c r="J40" s="80">
        <f t="shared" si="2"/>
        <v>0</v>
      </c>
      <c r="K40" s="80">
        <f t="shared" si="1"/>
        <v>0</v>
      </c>
      <c r="L40" s="48">
        <f>SUM(I40:K40)</f>
        <v>0</v>
      </c>
      <c r="M40" s="216"/>
    </row>
    <row r="41" spans="1:13" ht="19.5" customHeight="1">
      <c r="A41" s="207"/>
      <c r="B41" s="219"/>
      <c r="C41" s="221"/>
      <c r="D41" s="224"/>
      <c r="E41" s="210"/>
      <c r="F41" s="224"/>
      <c r="G41" s="60" t="s">
        <v>61</v>
      </c>
      <c r="H41" s="48">
        <v>0</v>
      </c>
      <c r="I41" s="48">
        <v>0</v>
      </c>
      <c r="J41" s="80">
        <f t="shared" si="2"/>
        <v>0</v>
      </c>
      <c r="K41" s="80">
        <f t="shared" si="1"/>
        <v>0</v>
      </c>
      <c r="L41" s="48">
        <f>SUM(I41:K41)</f>
        <v>0</v>
      </c>
      <c r="M41" s="216"/>
    </row>
    <row r="42" spans="1:13" ht="19.5" customHeight="1">
      <c r="A42" s="200"/>
      <c r="B42" s="219"/>
      <c r="C42" s="211" t="s">
        <v>42</v>
      </c>
      <c r="D42" s="212"/>
      <c r="E42" s="212"/>
      <c r="F42" s="212"/>
      <c r="G42" s="213"/>
      <c r="H42" s="48">
        <f>SUM(H38:H41)</f>
        <v>95</v>
      </c>
      <c r="I42" s="48">
        <f>SUM(I38:I41)</f>
        <v>0</v>
      </c>
      <c r="J42" s="80">
        <f t="shared" si="2"/>
        <v>0</v>
      </c>
      <c r="K42" s="80">
        <f t="shared" si="1"/>
        <v>0</v>
      </c>
      <c r="L42" s="48">
        <v>0</v>
      </c>
      <c r="M42" s="217"/>
    </row>
    <row r="43" spans="1:13" ht="15.75">
      <c r="A43" s="75">
        <v>9</v>
      </c>
      <c r="B43" s="61" t="s">
        <v>22</v>
      </c>
      <c r="C43" s="62" t="s">
        <v>28</v>
      </c>
      <c r="D43" s="60" t="s">
        <v>28</v>
      </c>
      <c r="E43" s="60" t="s">
        <v>28</v>
      </c>
      <c r="F43" s="60" t="s">
        <v>28</v>
      </c>
      <c r="G43" s="60" t="s">
        <v>28</v>
      </c>
      <c r="H43" s="85" t="s">
        <v>28</v>
      </c>
      <c r="I43" s="85" t="s">
        <v>28</v>
      </c>
      <c r="J43" s="80" t="str">
        <f t="shared" si="2"/>
        <v>х</v>
      </c>
      <c r="K43" s="80" t="str">
        <f t="shared" si="1"/>
        <v>х</v>
      </c>
      <c r="L43" s="48">
        <f>SUM(I43:K43)</f>
        <v>0</v>
      </c>
      <c r="M43" s="58" t="s">
        <v>28</v>
      </c>
    </row>
    <row r="44" spans="1:13" ht="63">
      <c r="A44" s="75">
        <v>10</v>
      </c>
      <c r="B44" s="55"/>
      <c r="C44" s="41" t="s">
        <v>157</v>
      </c>
      <c r="D44" s="60" t="s">
        <v>28</v>
      </c>
      <c r="E44" s="60" t="s">
        <v>28</v>
      </c>
      <c r="F44" s="60" t="s">
        <v>28</v>
      </c>
      <c r="G44" s="60" t="s">
        <v>28</v>
      </c>
      <c r="H44" s="48">
        <f>H16</f>
        <v>67289.9</v>
      </c>
      <c r="I44" s="48">
        <f>I16</f>
        <v>66250.16</v>
      </c>
      <c r="J44" s="48">
        <f>J16</f>
        <v>30450.05</v>
      </c>
      <c r="K44" s="48">
        <f>K16</f>
        <v>30435.484999999997</v>
      </c>
      <c r="L44" s="48">
        <f>I44+J44+K44</f>
        <v>127135.695</v>
      </c>
      <c r="M44" s="58" t="s">
        <v>28</v>
      </c>
    </row>
    <row r="45" spans="2:13" ht="15.75">
      <c r="B45" s="12"/>
      <c r="C45" s="9"/>
      <c r="D45" s="22"/>
      <c r="E45" s="22"/>
      <c r="F45" s="22"/>
      <c r="G45" s="22"/>
      <c r="H45" s="22"/>
      <c r="I45" s="32"/>
      <c r="J45" s="32"/>
      <c r="K45" s="32"/>
      <c r="L45" s="32"/>
      <c r="M45" s="9"/>
    </row>
    <row r="46" spans="2:13" ht="15.75" hidden="1">
      <c r="B46" s="6" t="s">
        <v>76</v>
      </c>
      <c r="C46" s="6" t="s">
        <v>75</v>
      </c>
      <c r="D46" s="23"/>
      <c r="E46" s="24"/>
      <c r="F46" s="24"/>
      <c r="G46" s="24"/>
      <c r="H46" s="24"/>
      <c r="I46" s="33"/>
      <c r="J46" s="33"/>
      <c r="K46" s="33"/>
      <c r="L46" s="32"/>
      <c r="M46" s="9"/>
    </row>
    <row r="47" spans="2:13" ht="15.75" hidden="1">
      <c r="B47" s="214"/>
      <c r="C47" s="214"/>
      <c r="D47" s="214"/>
      <c r="E47" s="24"/>
      <c r="F47" s="24"/>
      <c r="G47" s="24"/>
      <c r="H47" s="24"/>
      <c r="I47" s="225"/>
      <c r="J47" s="225"/>
      <c r="K47" s="33"/>
      <c r="L47" s="32"/>
      <c r="M47" s="9"/>
    </row>
    <row r="48" spans="2:13" ht="15.75">
      <c r="B48" s="3"/>
      <c r="C48" s="3"/>
      <c r="D48" s="25"/>
      <c r="E48" s="24"/>
      <c r="F48" s="24"/>
      <c r="G48" s="24"/>
      <c r="H48" s="24"/>
      <c r="I48" s="33"/>
      <c r="J48" s="33"/>
      <c r="K48" s="33"/>
      <c r="L48" s="32"/>
      <c r="M48" s="9"/>
    </row>
    <row r="49" spans="2:13" ht="18.75">
      <c r="B49" s="5"/>
      <c r="C49" s="8"/>
      <c r="D49" s="26"/>
      <c r="E49" s="26"/>
      <c r="F49" s="26"/>
      <c r="G49" s="96"/>
      <c r="H49" s="137"/>
      <c r="I49" s="97"/>
      <c r="J49" s="97"/>
      <c r="K49" s="34"/>
      <c r="L49" s="32"/>
      <c r="M49" s="9"/>
    </row>
    <row r="50" spans="2:13" ht="18.75">
      <c r="B50" s="214"/>
      <c r="C50" s="214"/>
      <c r="D50" s="214"/>
      <c r="E50" s="24"/>
      <c r="F50" s="24"/>
      <c r="G50" s="98"/>
      <c r="H50" s="138"/>
      <c r="I50" s="92"/>
      <c r="J50" s="90"/>
      <c r="K50" s="33"/>
      <c r="L50" s="31"/>
      <c r="M50" s="4"/>
    </row>
    <row r="51" spans="2:13" ht="18.75">
      <c r="B51" s="214"/>
      <c r="C51" s="214"/>
      <c r="D51" s="214"/>
      <c r="E51" s="24"/>
      <c r="F51" s="24"/>
      <c r="G51" s="98"/>
      <c r="H51" s="98"/>
      <c r="I51" s="92"/>
      <c r="J51" s="90"/>
      <c r="K51" s="33"/>
      <c r="L51" s="31"/>
      <c r="M51" s="4"/>
    </row>
    <row r="52" spans="2:13" ht="18.75">
      <c r="B52" s="214"/>
      <c r="C52" s="214"/>
      <c r="D52" s="214"/>
      <c r="E52" s="24"/>
      <c r="F52" s="24"/>
      <c r="G52" s="98"/>
      <c r="H52" s="98"/>
      <c r="I52" s="239"/>
      <c r="J52" s="239"/>
      <c r="K52" s="33"/>
      <c r="L52" s="31"/>
      <c r="M52" s="4"/>
    </row>
    <row r="53" spans="2:13" ht="18.75">
      <c r="B53" s="4"/>
      <c r="C53" s="4"/>
      <c r="D53" s="19"/>
      <c r="E53" s="19"/>
      <c r="F53" s="19"/>
      <c r="G53" s="99"/>
      <c r="H53" s="99"/>
      <c r="I53" s="94"/>
      <c r="J53" s="94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87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87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87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87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  <row r="90" spans="2:13" ht="15.75">
      <c r="B90" s="4"/>
      <c r="C90" s="4"/>
      <c r="D90" s="19"/>
      <c r="E90" s="19"/>
      <c r="F90" s="19"/>
      <c r="G90" s="19"/>
      <c r="H90" s="19"/>
      <c r="I90" s="31"/>
      <c r="J90" s="31"/>
      <c r="K90" s="31"/>
      <c r="L90" s="31"/>
      <c r="M90" s="4"/>
    </row>
    <row r="91" spans="2:13" ht="15.75">
      <c r="B91" s="4"/>
      <c r="C91" s="4"/>
      <c r="D91" s="19"/>
      <c r="E91" s="19"/>
      <c r="F91" s="19"/>
      <c r="G91" s="19"/>
      <c r="H91" s="19"/>
      <c r="I91" s="31"/>
      <c r="J91" s="31"/>
      <c r="K91" s="31"/>
      <c r="L91" s="31"/>
      <c r="M91" s="4"/>
    </row>
    <row r="92" spans="2:13" ht="15.75">
      <c r="B92" s="4"/>
      <c r="C92" s="4"/>
      <c r="D92" s="19"/>
      <c r="E92" s="19"/>
      <c r="F92" s="19"/>
      <c r="G92" s="19"/>
      <c r="H92" s="19"/>
      <c r="I92" s="31"/>
      <c r="J92" s="31"/>
      <c r="K92" s="31"/>
      <c r="L92" s="31"/>
      <c r="M92" s="4"/>
    </row>
    <row r="93" spans="2:13" ht="15.75">
      <c r="B93" s="4"/>
      <c r="C93" s="4"/>
      <c r="D93" s="19"/>
      <c r="E93" s="19"/>
      <c r="F93" s="19"/>
      <c r="G93" s="19"/>
      <c r="H93" s="19"/>
      <c r="I93" s="31"/>
      <c r="J93" s="31"/>
      <c r="K93" s="31"/>
      <c r="L93" s="31"/>
      <c r="M93" s="4"/>
    </row>
    <row r="94" spans="2:13" ht="15.75">
      <c r="B94" s="4"/>
      <c r="C94" s="4"/>
      <c r="D94" s="19"/>
      <c r="E94" s="19"/>
      <c r="F94" s="19"/>
      <c r="G94" s="19"/>
      <c r="H94" s="19"/>
      <c r="I94" s="31"/>
      <c r="J94" s="31"/>
      <c r="K94" s="31"/>
      <c r="L94" s="31"/>
      <c r="M94" s="4"/>
    </row>
    <row r="95" spans="2:13" ht="15.75">
      <c r="B95" s="4"/>
      <c r="C95" s="4"/>
      <c r="D95" s="19"/>
      <c r="E95" s="19"/>
      <c r="F95" s="19"/>
      <c r="G95" s="19"/>
      <c r="H95" s="19"/>
      <c r="I95" s="31"/>
      <c r="J95" s="31"/>
      <c r="K95" s="31"/>
      <c r="L95" s="31"/>
      <c r="M95" s="4"/>
    </row>
    <row r="96" spans="2:13" ht="15.75">
      <c r="B96" s="4"/>
      <c r="C96" s="4"/>
      <c r="D96" s="19"/>
      <c r="E96" s="19"/>
      <c r="F96" s="19"/>
      <c r="G96" s="19"/>
      <c r="H96" s="19"/>
      <c r="I96" s="31"/>
      <c r="J96" s="31"/>
      <c r="K96" s="31"/>
      <c r="L96" s="31"/>
      <c r="M96" s="4"/>
    </row>
    <row r="97" spans="2:13" ht="15.75">
      <c r="B97" s="4"/>
      <c r="C97" s="4"/>
      <c r="D97" s="19"/>
      <c r="E97" s="19"/>
      <c r="F97" s="19"/>
      <c r="G97" s="19"/>
      <c r="H97" s="19"/>
      <c r="I97" s="31"/>
      <c r="J97" s="31"/>
      <c r="K97" s="31"/>
      <c r="L97" s="31"/>
      <c r="M97" s="4"/>
    </row>
    <row r="98" spans="2:13" ht="15.75">
      <c r="B98" s="4"/>
      <c r="C98" s="4"/>
      <c r="D98" s="19"/>
      <c r="E98" s="19"/>
      <c r="F98" s="19"/>
      <c r="G98" s="19"/>
      <c r="H98" s="19"/>
      <c r="I98" s="31"/>
      <c r="J98" s="31"/>
      <c r="K98" s="31"/>
      <c r="L98" s="31"/>
      <c r="M98" s="4"/>
    </row>
    <row r="99" spans="2:13" ht="15.75">
      <c r="B99" s="4"/>
      <c r="C99" s="4"/>
      <c r="D99" s="19"/>
      <c r="E99" s="19"/>
      <c r="F99" s="19"/>
      <c r="G99" s="19"/>
      <c r="H99" s="19"/>
      <c r="I99" s="31"/>
      <c r="J99" s="31"/>
      <c r="K99" s="31"/>
      <c r="L99" s="31"/>
      <c r="M99" s="4"/>
    </row>
    <row r="100" spans="2:13" ht="15.75">
      <c r="B100" s="4"/>
      <c r="C100" s="4"/>
      <c r="D100" s="19"/>
      <c r="E100" s="19"/>
      <c r="F100" s="19"/>
      <c r="G100" s="19"/>
      <c r="H100" s="19"/>
      <c r="I100" s="31"/>
      <c r="J100" s="31"/>
      <c r="K100" s="31"/>
      <c r="L100" s="31"/>
      <c r="M100" s="4"/>
    </row>
  </sheetData>
  <sheetProtection/>
  <mergeCells count="50">
    <mergeCell ref="J7:M7"/>
    <mergeCell ref="J3:M3"/>
    <mergeCell ref="J4:M4"/>
    <mergeCell ref="J5:M5"/>
    <mergeCell ref="J2:M2"/>
    <mergeCell ref="J8:M10"/>
    <mergeCell ref="B12:M12"/>
    <mergeCell ref="E40:E41"/>
    <mergeCell ref="E18:E23"/>
    <mergeCell ref="B14:B15"/>
    <mergeCell ref="B33:B34"/>
    <mergeCell ref="C24:C29"/>
    <mergeCell ref="C14:C15"/>
    <mergeCell ref="C30:G30"/>
    <mergeCell ref="B31:B32"/>
    <mergeCell ref="L11:M11"/>
    <mergeCell ref="M18:M34"/>
    <mergeCell ref="M14:M15"/>
    <mergeCell ref="C34:G34"/>
    <mergeCell ref="D14:G14"/>
    <mergeCell ref="M38:M42"/>
    <mergeCell ref="C32:G32"/>
    <mergeCell ref="F24:F29"/>
    <mergeCell ref="E24:E29"/>
    <mergeCell ref="D24:D29"/>
    <mergeCell ref="I52:J52"/>
    <mergeCell ref="I47:J47"/>
    <mergeCell ref="C42:G42"/>
    <mergeCell ref="C38:C41"/>
    <mergeCell ref="B52:D52"/>
    <mergeCell ref="H14:L14"/>
    <mergeCell ref="F18:F23"/>
    <mergeCell ref="C18:C23"/>
    <mergeCell ref="D18:D23"/>
    <mergeCell ref="B18:B30"/>
    <mergeCell ref="B51:D51"/>
    <mergeCell ref="F38:F41"/>
    <mergeCell ref="B50:D50"/>
    <mergeCell ref="A38:A42"/>
    <mergeCell ref="D38:D41"/>
    <mergeCell ref="E38:E39"/>
    <mergeCell ref="B47:D47"/>
    <mergeCell ref="B38:B42"/>
    <mergeCell ref="A35:A36"/>
    <mergeCell ref="B35:B36"/>
    <mergeCell ref="C36:G36"/>
    <mergeCell ref="A14:A15"/>
    <mergeCell ref="A18:A30"/>
    <mergeCell ref="A31:A32"/>
    <mergeCell ref="A33:A34"/>
  </mergeCells>
  <printOptions/>
  <pageMargins left="0.25" right="0.25" top="0.51" bottom="0.29" header="0.55" footer="0.28"/>
  <pageSetup fitToHeight="0" fitToWidth="1" horizontalDpi="600" verticalDpi="600" orientation="landscape" paperSize="9" scale="63" r:id="rId1"/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view="pageBreakPreview" zoomScale="75" zoomScaleSheetLayoutView="75" workbookViewId="0" topLeftCell="A1">
      <selection activeCell="J4" sqref="J4:M4"/>
    </sheetView>
  </sheetViews>
  <sheetFormatPr defaultColWidth="9.140625" defaultRowHeight="12.75" outlineLevelCol="1"/>
  <cols>
    <col min="1" max="1" width="9.140625" style="74" customWidth="1"/>
    <col min="2" max="2" width="51.421875" style="10" customWidth="1"/>
    <col min="3" max="3" width="26.57421875" style="10" customWidth="1"/>
    <col min="4" max="5" width="9.140625" style="27" customWidth="1"/>
    <col min="6" max="6" width="20.57421875" style="27" customWidth="1"/>
    <col min="7" max="7" width="11.00390625" style="27" customWidth="1"/>
    <col min="8" max="8" width="16.140625" style="27" hidden="1" customWidth="1" outlineLevel="1"/>
    <col min="9" max="9" width="16.57421875" style="35" customWidth="1" collapsed="1"/>
    <col min="10" max="12" width="16.57421875" style="35" customWidth="1"/>
    <col min="13" max="13" width="34.8515625" style="10" customWidth="1"/>
    <col min="14" max="16384" width="9.140625" style="10" customWidth="1"/>
  </cols>
  <sheetData>
    <row r="1" spans="2:13" ht="15.75">
      <c r="B1" s="4"/>
      <c r="C1" s="4"/>
      <c r="D1" s="19"/>
      <c r="E1" s="19"/>
      <c r="F1" s="19"/>
      <c r="G1" s="19"/>
      <c r="H1" s="19"/>
      <c r="I1" s="76"/>
      <c r="J1" s="214" t="s">
        <v>284</v>
      </c>
      <c r="K1" s="214"/>
      <c r="L1" s="214"/>
      <c r="M1" s="214"/>
    </row>
    <row r="2" spans="2:13" ht="15.75">
      <c r="B2" s="4"/>
      <c r="C2" s="4"/>
      <c r="D2" s="19"/>
      <c r="E2" s="19"/>
      <c r="F2" s="19"/>
      <c r="G2" s="19"/>
      <c r="H2" s="19"/>
      <c r="I2" s="76"/>
      <c r="J2" s="231" t="s">
        <v>282</v>
      </c>
      <c r="K2" s="231"/>
      <c r="L2" s="231"/>
      <c r="M2" s="231"/>
    </row>
    <row r="3" spans="2:13" ht="15.75">
      <c r="B3" s="4"/>
      <c r="C3" s="4"/>
      <c r="D3" s="19"/>
      <c r="E3" s="19"/>
      <c r="F3" s="19"/>
      <c r="G3" s="19"/>
      <c r="H3" s="19"/>
      <c r="I3" s="76"/>
      <c r="J3" s="231" t="s">
        <v>283</v>
      </c>
      <c r="K3" s="231"/>
      <c r="L3" s="231"/>
      <c r="M3" s="231"/>
    </row>
    <row r="4" spans="2:13" ht="15.75">
      <c r="B4" s="4"/>
      <c r="C4" s="4"/>
      <c r="D4" s="19"/>
      <c r="E4" s="19"/>
      <c r="F4" s="19"/>
      <c r="G4" s="19"/>
      <c r="H4" s="19"/>
      <c r="I4" s="76"/>
      <c r="J4" s="231" t="s">
        <v>318</v>
      </c>
      <c r="K4" s="231"/>
      <c r="L4" s="231"/>
      <c r="M4" s="231"/>
    </row>
    <row r="5" spans="2:13" ht="15.75">
      <c r="B5" s="4"/>
      <c r="C5" s="4"/>
      <c r="D5" s="19"/>
      <c r="E5" s="19"/>
      <c r="F5" s="19"/>
      <c r="G5" s="19"/>
      <c r="H5" s="19"/>
      <c r="I5" s="76"/>
      <c r="J5" s="73"/>
      <c r="K5" s="73"/>
      <c r="L5" s="73"/>
      <c r="M5" s="73"/>
    </row>
    <row r="6" spans="2:13" ht="15.75">
      <c r="B6" s="4"/>
      <c r="C6" s="4"/>
      <c r="D6" s="19"/>
      <c r="E6" s="19"/>
      <c r="F6" s="19"/>
      <c r="G6" s="19"/>
      <c r="H6" s="19"/>
      <c r="I6" s="76"/>
      <c r="J6" s="214" t="s">
        <v>247</v>
      </c>
      <c r="K6" s="214"/>
      <c r="L6" s="214"/>
      <c r="M6" s="214"/>
    </row>
    <row r="7" spans="2:13" ht="15.75">
      <c r="B7" s="4"/>
      <c r="C7" s="4"/>
      <c r="D7" s="19"/>
      <c r="E7" s="19"/>
      <c r="F7" s="19"/>
      <c r="G7" s="19"/>
      <c r="H7" s="19"/>
      <c r="I7" s="76"/>
      <c r="J7" s="231" t="s">
        <v>138</v>
      </c>
      <c r="K7" s="231"/>
      <c r="L7" s="231"/>
      <c r="M7" s="231"/>
    </row>
    <row r="8" spans="2:13" ht="15.75">
      <c r="B8" s="4"/>
      <c r="C8" s="4"/>
      <c r="D8" s="19"/>
      <c r="E8" s="19"/>
      <c r="F8" s="19"/>
      <c r="G8" s="19"/>
      <c r="H8" s="19"/>
      <c r="I8" s="76"/>
      <c r="J8" s="231"/>
      <c r="K8" s="231"/>
      <c r="L8" s="231"/>
      <c r="M8" s="231"/>
    </row>
    <row r="9" spans="2:13" ht="15.75">
      <c r="B9" s="4"/>
      <c r="C9" s="4"/>
      <c r="D9" s="19"/>
      <c r="E9" s="19"/>
      <c r="F9" s="19"/>
      <c r="G9" s="19"/>
      <c r="H9" s="19"/>
      <c r="I9" s="31"/>
      <c r="J9" s="231"/>
      <c r="K9" s="231"/>
      <c r="L9" s="231"/>
      <c r="M9" s="231"/>
    </row>
    <row r="10" spans="2:13" ht="15.75">
      <c r="B10" s="4"/>
      <c r="C10" s="4"/>
      <c r="D10" s="19"/>
      <c r="E10" s="19"/>
      <c r="F10" s="19"/>
      <c r="G10" s="19"/>
      <c r="H10" s="19"/>
      <c r="I10" s="31"/>
      <c r="J10" s="73"/>
      <c r="K10" s="73"/>
      <c r="L10" s="73"/>
      <c r="M10" s="73"/>
    </row>
    <row r="11" spans="2:13" ht="15.75">
      <c r="B11" s="246" t="s">
        <v>57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</row>
    <row r="12" spans="2:13" ht="15.75">
      <c r="B12" s="4"/>
      <c r="C12" s="4"/>
      <c r="D12" s="19"/>
      <c r="E12" s="19"/>
      <c r="F12" s="19"/>
      <c r="G12" s="19"/>
      <c r="H12" s="19"/>
      <c r="I12" s="31"/>
      <c r="J12" s="31"/>
      <c r="K12" s="31"/>
      <c r="L12" s="31"/>
      <c r="M12" s="4"/>
    </row>
    <row r="13" spans="1:15" ht="31.5" customHeight="1">
      <c r="A13" s="199" t="s">
        <v>0</v>
      </c>
      <c r="B13" s="247" t="s">
        <v>1</v>
      </c>
      <c r="C13" s="247" t="s">
        <v>2</v>
      </c>
      <c r="D13" s="254" t="s">
        <v>3</v>
      </c>
      <c r="E13" s="254"/>
      <c r="F13" s="254"/>
      <c r="G13" s="254"/>
      <c r="H13" s="136"/>
      <c r="I13" s="249"/>
      <c r="J13" s="249"/>
      <c r="K13" s="249"/>
      <c r="L13" s="250"/>
      <c r="M13" s="247" t="s">
        <v>14</v>
      </c>
      <c r="N13" s="11"/>
      <c r="O13" s="11"/>
    </row>
    <row r="14" spans="1:13" ht="31.5">
      <c r="A14" s="200"/>
      <c r="B14" s="247"/>
      <c r="C14" s="247"/>
      <c r="D14" s="20" t="s">
        <v>4</v>
      </c>
      <c r="E14" s="20" t="s">
        <v>5</v>
      </c>
      <c r="F14" s="20" t="s">
        <v>6</v>
      </c>
      <c r="G14" s="20" t="s">
        <v>7</v>
      </c>
      <c r="H14" s="2" t="s">
        <v>104</v>
      </c>
      <c r="I14" s="2" t="s">
        <v>141</v>
      </c>
      <c r="J14" s="2" t="s">
        <v>142</v>
      </c>
      <c r="K14" s="2" t="s">
        <v>248</v>
      </c>
      <c r="L14" s="28" t="s">
        <v>275</v>
      </c>
      <c r="M14" s="247"/>
    </row>
    <row r="15" spans="1:13" ht="78.75">
      <c r="A15" s="75">
        <v>1</v>
      </c>
      <c r="B15" s="18" t="s">
        <v>265</v>
      </c>
      <c r="C15" s="36" t="s">
        <v>28</v>
      </c>
      <c r="D15" s="37" t="s">
        <v>28</v>
      </c>
      <c r="E15" s="37" t="s">
        <v>28</v>
      </c>
      <c r="F15" s="37" t="s">
        <v>28</v>
      </c>
      <c r="G15" s="37" t="s">
        <v>28</v>
      </c>
      <c r="H15" s="82">
        <f>H16+H20</f>
        <v>4337.710999999999</v>
      </c>
      <c r="I15" s="82">
        <f>I16+I20</f>
        <v>4444.935</v>
      </c>
      <c r="J15" s="82">
        <f>J16+J20</f>
        <v>4437.635</v>
      </c>
      <c r="K15" s="82">
        <f>K16+K20</f>
        <v>4437.635</v>
      </c>
      <c r="L15" s="82">
        <f aca="true" t="shared" si="0" ref="L15:L24">I15+J15+K15</f>
        <v>13320.205</v>
      </c>
      <c r="M15" s="39" t="s">
        <v>28</v>
      </c>
    </row>
    <row r="16" spans="1:13" s="38" customFormat="1" ht="94.5">
      <c r="A16" s="75">
        <v>2</v>
      </c>
      <c r="B16" s="18" t="s">
        <v>266</v>
      </c>
      <c r="C16" s="36" t="s">
        <v>28</v>
      </c>
      <c r="D16" s="37" t="s">
        <v>28</v>
      </c>
      <c r="E16" s="37" t="s">
        <v>28</v>
      </c>
      <c r="F16" s="37" t="s">
        <v>28</v>
      </c>
      <c r="G16" s="37" t="s">
        <v>28</v>
      </c>
      <c r="H16" s="84">
        <f>H19</f>
        <v>4028.8109999999997</v>
      </c>
      <c r="I16" s="84">
        <f>I19</f>
        <v>4125.635</v>
      </c>
      <c r="J16" s="84">
        <f>J19</f>
        <v>4125.635</v>
      </c>
      <c r="K16" s="84">
        <f>K19</f>
        <v>4125.635</v>
      </c>
      <c r="L16" s="82">
        <f t="shared" si="0"/>
        <v>12376.905</v>
      </c>
      <c r="M16" s="39" t="s">
        <v>28</v>
      </c>
    </row>
    <row r="17" spans="1:13" ht="32.25" customHeight="1">
      <c r="A17" s="75">
        <v>3</v>
      </c>
      <c r="B17" s="256" t="s">
        <v>77</v>
      </c>
      <c r="C17" s="261" t="s">
        <v>59</v>
      </c>
      <c r="D17" s="252" t="s">
        <v>63</v>
      </c>
      <c r="E17" s="252" t="s">
        <v>64</v>
      </c>
      <c r="F17" s="259" t="s">
        <v>118</v>
      </c>
      <c r="G17" s="21" t="s">
        <v>58</v>
      </c>
      <c r="H17" s="48">
        <v>3094.325</v>
      </c>
      <c r="I17" s="48">
        <v>3169</v>
      </c>
      <c r="J17" s="48">
        <v>3169</v>
      </c>
      <c r="K17" s="48">
        <v>3169</v>
      </c>
      <c r="L17" s="80">
        <f t="shared" si="0"/>
        <v>9507</v>
      </c>
      <c r="M17" s="58"/>
    </row>
    <row r="18" spans="1:13" ht="29.25" customHeight="1">
      <c r="A18" s="199">
        <v>4</v>
      </c>
      <c r="B18" s="257"/>
      <c r="C18" s="262"/>
      <c r="D18" s="253"/>
      <c r="E18" s="253"/>
      <c r="F18" s="260"/>
      <c r="G18" s="21" t="s">
        <v>107</v>
      </c>
      <c r="H18" s="48">
        <v>934.486</v>
      </c>
      <c r="I18" s="48">
        <v>956.635</v>
      </c>
      <c r="J18" s="48">
        <v>956.635</v>
      </c>
      <c r="K18" s="48">
        <v>956.635</v>
      </c>
      <c r="L18" s="80">
        <f t="shared" si="0"/>
        <v>2869.9049999999997</v>
      </c>
      <c r="M18" s="238" t="s">
        <v>85</v>
      </c>
    </row>
    <row r="19" spans="1:13" ht="21" customHeight="1">
      <c r="A19" s="200"/>
      <c r="B19" s="258"/>
      <c r="C19" s="248" t="s">
        <v>45</v>
      </c>
      <c r="D19" s="248"/>
      <c r="E19" s="248"/>
      <c r="F19" s="248"/>
      <c r="G19" s="248"/>
      <c r="H19" s="48">
        <f>SUM(H17:H18)</f>
        <v>4028.8109999999997</v>
      </c>
      <c r="I19" s="48">
        <f>I17+I18</f>
        <v>4125.635</v>
      </c>
      <c r="J19" s="48">
        <f>J17+J18</f>
        <v>4125.635</v>
      </c>
      <c r="K19" s="48">
        <f>K17+K18</f>
        <v>4125.635</v>
      </c>
      <c r="L19" s="80">
        <f t="shared" si="0"/>
        <v>12376.905</v>
      </c>
      <c r="M19" s="238"/>
    </row>
    <row r="20" spans="1:13" s="38" customFormat="1" ht="47.25">
      <c r="A20" s="75">
        <v>5</v>
      </c>
      <c r="B20" s="18" t="s">
        <v>267</v>
      </c>
      <c r="C20" s="36" t="s">
        <v>28</v>
      </c>
      <c r="D20" s="37" t="s">
        <v>28</v>
      </c>
      <c r="E20" s="37" t="s">
        <v>28</v>
      </c>
      <c r="F20" s="37" t="s">
        <v>28</v>
      </c>
      <c r="G20" s="37" t="s">
        <v>28</v>
      </c>
      <c r="H20" s="84">
        <v>308.9</v>
      </c>
      <c r="I20" s="84">
        <f>I24+I26+I28+I30+I32</f>
        <v>319.3</v>
      </c>
      <c r="J20" s="84">
        <f>J24+J26+J28+J30+J32</f>
        <v>312</v>
      </c>
      <c r="K20" s="84">
        <f>K24+K26+K28+K30+K32</f>
        <v>312</v>
      </c>
      <c r="L20" s="82">
        <f t="shared" si="0"/>
        <v>943.3</v>
      </c>
      <c r="M20" s="58" t="s">
        <v>28</v>
      </c>
    </row>
    <row r="21" spans="1:13" ht="15.75">
      <c r="A21" s="199">
        <v>6</v>
      </c>
      <c r="B21" s="255" t="s">
        <v>78</v>
      </c>
      <c r="C21" s="247" t="s">
        <v>59</v>
      </c>
      <c r="D21" s="251" t="s">
        <v>63</v>
      </c>
      <c r="E21" s="251" t="s">
        <v>64</v>
      </c>
      <c r="F21" s="238" t="s">
        <v>124</v>
      </c>
      <c r="G21" s="21" t="s">
        <v>58</v>
      </c>
      <c r="H21" s="48">
        <v>205.221</v>
      </c>
      <c r="I21" s="48">
        <v>211.837</v>
      </c>
      <c r="J21" s="48">
        <v>206.23</v>
      </c>
      <c r="K21" s="48">
        <v>206.23</v>
      </c>
      <c r="L21" s="80">
        <f>I21+J21+K21</f>
        <v>624.297</v>
      </c>
      <c r="M21" s="221" t="s">
        <v>86</v>
      </c>
    </row>
    <row r="22" spans="1:13" ht="15.75">
      <c r="A22" s="207"/>
      <c r="B22" s="255"/>
      <c r="C22" s="247"/>
      <c r="D22" s="251"/>
      <c r="E22" s="251"/>
      <c r="F22" s="238"/>
      <c r="G22" s="21" t="s">
        <v>107</v>
      </c>
      <c r="H22" s="48">
        <v>61.978</v>
      </c>
      <c r="I22" s="48">
        <v>63.975</v>
      </c>
      <c r="J22" s="48">
        <v>62.282</v>
      </c>
      <c r="K22" s="48">
        <v>62.282</v>
      </c>
      <c r="L22" s="80">
        <f t="shared" si="0"/>
        <v>188.539</v>
      </c>
      <c r="M22" s="221"/>
    </row>
    <row r="23" spans="1:13" ht="15.75">
      <c r="A23" s="207"/>
      <c r="B23" s="255"/>
      <c r="C23" s="247"/>
      <c r="D23" s="251"/>
      <c r="E23" s="251"/>
      <c r="F23" s="224"/>
      <c r="G23" s="21" t="s">
        <v>37</v>
      </c>
      <c r="H23" s="48">
        <v>41.701</v>
      </c>
      <c r="I23" s="48">
        <v>43.488</v>
      </c>
      <c r="J23" s="48">
        <f>I23</f>
        <v>43.488</v>
      </c>
      <c r="K23" s="48">
        <f>I23</f>
        <v>43.488</v>
      </c>
      <c r="L23" s="80">
        <f t="shared" si="0"/>
        <v>130.464</v>
      </c>
      <c r="M23" s="221"/>
    </row>
    <row r="24" spans="1:13" ht="15.75">
      <c r="A24" s="200"/>
      <c r="B24" s="255"/>
      <c r="C24" s="248" t="s">
        <v>42</v>
      </c>
      <c r="D24" s="248"/>
      <c r="E24" s="248"/>
      <c r="F24" s="248"/>
      <c r="G24" s="248"/>
      <c r="H24" s="48">
        <f>SUM(H21:H23)</f>
        <v>308.90000000000003</v>
      </c>
      <c r="I24" s="48">
        <f>I21+I22+I23</f>
        <v>319.3</v>
      </c>
      <c r="J24" s="48">
        <f>J21+J22+J23</f>
        <v>312</v>
      </c>
      <c r="K24" s="48">
        <f>K21+K22+K23</f>
        <v>312</v>
      </c>
      <c r="L24" s="80">
        <f t="shared" si="0"/>
        <v>943.3</v>
      </c>
      <c r="M24" s="221"/>
    </row>
    <row r="25" spans="1:13" ht="31.5" customHeight="1">
      <c r="A25" s="199">
        <v>7</v>
      </c>
      <c r="B25" s="255" t="s">
        <v>100</v>
      </c>
      <c r="C25" s="2" t="s">
        <v>59</v>
      </c>
      <c r="D25" s="21" t="s">
        <v>63</v>
      </c>
      <c r="E25" s="21" t="s">
        <v>64</v>
      </c>
      <c r="F25" s="20" t="s">
        <v>125</v>
      </c>
      <c r="G25" s="21" t="s">
        <v>37</v>
      </c>
      <c r="H25" s="48">
        <v>0</v>
      </c>
      <c r="I25" s="48">
        <v>0</v>
      </c>
      <c r="J25" s="80">
        <f aca="true" t="shared" si="1" ref="J25:J32">I25</f>
        <v>0</v>
      </c>
      <c r="K25" s="80">
        <f aca="true" t="shared" si="2" ref="K25:K32">J25</f>
        <v>0</v>
      </c>
      <c r="L25" s="80">
        <f aca="true" t="shared" si="3" ref="L25:L32">SUM(I25:K25)</f>
        <v>0</v>
      </c>
      <c r="M25" s="221"/>
    </row>
    <row r="26" spans="1:13" ht="31.5" customHeight="1">
      <c r="A26" s="200"/>
      <c r="B26" s="255"/>
      <c r="C26" s="248" t="s">
        <v>46</v>
      </c>
      <c r="D26" s="248"/>
      <c r="E26" s="248"/>
      <c r="F26" s="248"/>
      <c r="G26" s="248"/>
      <c r="H26" s="48">
        <f>SUM(H25:H25)</f>
        <v>0</v>
      </c>
      <c r="I26" s="48">
        <f>SUM(I25:I25)</f>
        <v>0</v>
      </c>
      <c r="J26" s="80">
        <f t="shared" si="1"/>
        <v>0</v>
      </c>
      <c r="K26" s="80">
        <f t="shared" si="2"/>
        <v>0</v>
      </c>
      <c r="L26" s="80">
        <f t="shared" si="3"/>
        <v>0</v>
      </c>
      <c r="M26" s="221"/>
    </row>
    <row r="27" spans="1:13" ht="31.5" customHeight="1">
      <c r="A27" s="199">
        <v>8</v>
      </c>
      <c r="B27" s="255" t="s">
        <v>101</v>
      </c>
      <c r="C27" s="2" t="s">
        <v>59</v>
      </c>
      <c r="D27" s="21" t="s">
        <v>63</v>
      </c>
      <c r="E27" s="21" t="s">
        <v>64</v>
      </c>
      <c r="F27" s="20" t="s">
        <v>127</v>
      </c>
      <c r="G27" s="21" t="s">
        <v>37</v>
      </c>
      <c r="H27" s="48">
        <v>0</v>
      </c>
      <c r="I27" s="48">
        <v>0</v>
      </c>
      <c r="J27" s="80">
        <f t="shared" si="1"/>
        <v>0</v>
      </c>
      <c r="K27" s="80">
        <f t="shared" si="2"/>
        <v>0</v>
      </c>
      <c r="L27" s="80">
        <f t="shared" si="3"/>
        <v>0</v>
      </c>
      <c r="M27" s="256" t="s">
        <v>79</v>
      </c>
    </row>
    <row r="28" spans="1:13" ht="31.5" customHeight="1">
      <c r="A28" s="200"/>
      <c r="B28" s="255"/>
      <c r="C28" s="248" t="s">
        <v>47</v>
      </c>
      <c r="D28" s="248"/>
      <c r="E28" s="248"/>
      <c r="F28" s="248"/>
      <c r="G28" s="248"/>
      <c r="H28" s="48">
        <f>SUM(H27:H27)</f>
        <v>0</v>
      </c>
      <c r="I28" s="48">
        <f>SUM(I27:I27)</f>
        <v>0</v>
      </c>
      <c r="J28" s="80">
        <f t="shared" si="1"/>
        <v>0</v>
      </c>
      <c r="K28" s="80">
        <f t="shared" si="2"/>
        <v>0</v>
      </c>
      <c r="L28" s="80">
        <f t="shared" si="3"/>
        <v>0</v>
      </c>
      <c r="M28" s="257"/>
    </row>
    <row r="29" spans="1:13" ht="31.5" customHeight="1">
      <c r="A29" s="199">
        <v>9</v>
      </c>
      <c r="B29" s="255" t="s">
        <v>102</v>
      </c>
      <c r="C29" s="2" t="s">
        <v>59</v>
      </c>
      <c r="D29" s="21" t="s">
        <v>63</v>
      </c>
      <c r="E29" s="21" t="s">
        <v>64</v>
      </c>
      <c r="F29" s="20" t="s">
        <v>126</v>
      </c>
      <c r="G29" s="21" t="s">
        <v>37</v>
      </c>
      <c r="H29" s="48">
        <v>0</v>
      </c>
      <c r="I29" s="48">
        <v>0</v>
      </c>
      <c r="J29" s="80">
        <f t="shared" si="1"/>
        <v>0</v>
      </c>
      <c r="K29" s="80">
        <f t="shared" si="2"/>
        <v>0</v>
      </c>
      <c r="L29" s="80">
        <f t="shared" si="3"/>
        <v>0</v>
      </c>
      <c r="M29" s="257"/>
    </row>
    <row r="30" spans="1:13" ht="31.5" customHeight="1">
      <c r="A30" s="200"/>
      <c r="B30" s="255"/>
      <c r="C30" s="248" t="s">
        <v>80</v>
      </c>
      <c r="D30" s="248"/>
      <c r="E30" s="248"/>
      <c r="F30" s="248"/>
      <c r="G30" s="248"/>
      <c r="H30" s="48">
        <f>SUM(H29:H29)</f>
        <v>0</v>
      </c>
      <c r="I30" s="48">
        <f>SUM(I29:I29)</f>
        <v>0</v>
      </c>
      <c r="J30" s="80">
        <f t="shared" si="1"/>
        <v>0</v>
      </c>
      <c r="K30" s="80">
        <f t="shared" si="2"/>
        <v>0</v>
      </c>
      <c r="L30" s="80">
        <f t="shared" si="3"/>
        <v>0</v>
      </c>
      <c r="M30" s="258"/>
    </row>
    <row r="31" spans="1:13" ht="30.75" customHeight="1">
      <c r="A31" s="199">
        <v>10</v>
      </c>
      <c r="B31" s="255" t="s">
        <v>103</v>
      </c>
      <c r="C31" s="2" t="s">
        <v>59</v>
      </c>
      <c r="D31" s="21" t="s">
        <v>63</v>
      </c>
      <c r="E31" s="21" t="s">
        <v>64</v>
      </c>
      <c r="F31" s="20" t="s">
        <v>128</v>
      </c>
      <c r="G31" s="21" t="s">
        <v>37</v>
      </c>
      <c r="H31" s="48">
        <v>0</v>
      </c>
      <c r="I31" s="48">
        <v>0</v>
      </c>
      <c r="J31" s="80">
        <f t="shared" si="1"/>
        <v>0</v>
      </c>
      <c r="K31" s="80">
        <f t="shared" si="2"/>
        <v>0</v>
      </c>
      <c r="L31" s="80">
        <f t="shared" si="3"/>
        <v>0</v>
      </c>
      <c r="M31" s="247"/>
    </row>
    <row r="32" spans="1:13" ht="24.75" customHeight="1">
      <c r="A32" s="200"/>
      <c r="B32" s="255"/>
      <c r="C32" s="248" t="s">
        <v>87</v>
      </c>
      <c r="D32" s="248"/>
      <c r="E32" s="248"/>
      <c r="F32" s="248"/>
      <c r="G32" s="248"/>
      <c r="H32" s="48">
        <f>SUM(H31:H31)</f>
        <v>0</v>
      </c>
      <c r="I32" s="48">
        <f>SUM(I31:I31)</f>
        <v>0</v>
      </c>
      <c r="J32" s="80">
        <f t="shared" si="1"/>
        <v>0</v>
      </c>
      <c r="K32" s="80">
        <f t="shared" si="2"/>
        <v>0</v>
      </c>
      <c r="L32" s="80">
        <f t="shared" si="3"/>
        <v>0</v>
      </c>
      <c r="M32" s="247"/>
    </row>
    <row r="33" spans="1:13" ht="31.5">
      <c r="A33" s="75">
        <v>11</v>
      </c>
      <c r="B33" s="7"/>
      <c r="C33" s="2" t="s">
        <v>59</v>
      </c>
      <c r="D33" s="21" t="s">
        <v>63</v>
      </c>
      <c r="E33" s="21" t="s">
        <v>28</v>
      </c>
      <c r="F33" s="21" t="s">
        <v>28</v>
      </c>
      <c r="G33" s="21" t="s">
        <v>28</v>
      </c>
      <c r="H33" s="47">
        <f>H15</f>
        <v>4337.710999999999</v>
      </c>
      <c r="I33" s="47">
        <f>I15</f>
        <v>4444.935</v>
      </c>
      <c r="J33" s="47">
        <f>J15</f>
        <v>4437.635</v>
      </c>
      <c r="K33" s="47">
        <f>K15</f>
        <v>4437.635</v>
      </c>
      <c r="L33" s="72">
        <f>I33+J33+K33</f>
        <v>13320.205</v>
      </c>
      <c r="M33" s="39" t="s">
        <v>28</v>
      </c>
    </row>
    <row r="34" spans="2:13" ht="15.75">
      <c r="B34" s="12"/>
      <c r="C34" s="9"/>
      <c r="D34" s="22"/>
      <c r="E34" s="22"/>
      <c r="F34" s="22"/>
      <c r="G34" s="22"/>
      <c r="H34" s="22"/>
      <c r="I34" s="32"/>
      <c r="J34" s="32"/>
      <c r="K34" s="32"/>
      <c r="L34" s="32"/>
      <c r="M34" s="9"/>
    </row>
    <row r="35" spans="2:13" ht="15.75" hidden="1">
      <c r="B35" s="6" t="s">
        <v>32</v>
      </c>
      <c r="C35" s="6" t="s">
        <v>50</v>
      </c>
      <c r="D35" s="23"/>
      <c r="E35" s="24"/>
      <c r="F35" s="24"/>
      <c r="G35" s="24"/>
      <c r="H35" s="24"/>
      <c r="I35" s="33"/>
      <c r="J35" s="33"/>
      <c r="K35" s="33"/>
      <c r="L35" s="32"/>
      <c r="M35" s="9"/>
    </row>
    <row r="36" spans="2:13" ht="15.75" hidden="1">
      <c r="B36" s="214"/>
      <c r="C36" s="214"/>
      <c r="D36" s="214"/>
      <c r="E36" s="24"/>
      <c r="F36" s="24"/>
      <c r="G36" s="24"/>
      <c r="H36" s="24"/>
      <c r="I36" s="225"/>
      <c r="J36" s="225"/>
      <c r="K36" s="33"/>
      <c r="L36" s="32"/>
      <c r="M36" s="9"/>
    </row>
    <row r="37" spans="2:13" ht="15.75">
      <c r="B37" s="3"/>
      <c r="C37" s="3"/>
      <c r="D37" s="25"/>
      <c r="E37" s="24"/>
      <c r="F37" s="24"/>
      <c r="G37" s="24"/>
      <c r="H37" s="24"/>
      <c r="I37" s="33"/>
      <c r="J37" s="33"/>
      <c r="K37" s="33"/>
      <c r="L37" s="32"/>
      <c r="M37" s="9"/>
    </row>
    <row r="38" spans="2:13" ht="15.75">
      <c r="B38" s="5"/>
      <c r="C38" s="8"/>
      <c r="D38" s="26"/>
      <c r="E38" s="26"/>
      <c r="F38" s="26"/>
      <c r="G38" s="26"/>
      <c r="H38" s="26"/>
      <c r="I38" s="88"/>
      <c r="J38" s="34"/>
      <c r="K38" s="34"/>
      <c r="L38" s="32"/>
      <c r="M38" s="9"/>
    </row>
    <row r="39" spans="2:13" ht="15.75">
      <c r="B39" s="214"/>
      <c r="C39" s="214"/>
      <c r="D39" s="214"/>
      <c r="E39" s="24"/>
      <c r="F39" s="24"/>
      <c r="G39" s="24"/>
      <c r="H39" s="24"/>
      <c r="I39" s="86"/>
      <c r="J39" s="33"/>
      <c r="K39" s="33"/>
      <c r="L39" s="31"/>
      <c r="M39" s="4"/>
    </row>
    <row r="40" spans="2:13" ht="15.75">
      <c r="B40" s="214"/>
      <c r="C40" s="214"/>
      <c r="D40" s="214"/>
      <c r="E40" s="24"/>
      <c r="F40" s="24"/>
      <c r="G40" s="24"/>
      <c r="H40" s="24"/>
      <c r="I40" s="86"/>
      <c r="J40" s="33"/>
      <c r="K40" s="33"/>
      <c r="L40" s="31"/>
      <c r="M40" s="4"/>
    </row>
    <row r="41" spans="2:13" ht="15.75">
      <c r="B41" s="214"/>
      <c r="C41" s="214"/>
      <c r="D41" s="214"/>
      <c r="E41" s="24"/>
      <c r="F41" s="24"/>
      <c r="G41" s="24"/>
      <c r="H41" s="24"/>
      <c r="I41" s="208"/>
      <c r="J41" s="208"/>
      <c r="K41" s="33"/>
      <c r="L41" s="31"/>
      <c r="M41" s="4"/>
    </row>
    <row r="42" spans="2:13" ht="15.75">
      <c r="B42" s="4"/>
      <c r="C42" s="4"/>
      <c r="D42" s="19"/>
      <c r="E42" s="19"/>
      <c r="F42" s="19"/>
      <c r="G42" s="19"/>
      <c r="H42" s="19"/>
      <c r="I42" s="31"/>
      <c r="J42" s="31"/>
      <c r="K42" s="31"/>
      <c r="L42" s="31"/>
      <c r="M42" s="4"/>
    </row>
    <row r="43" spans="2:13" ht="15.75">
      <c r="B43" s="4"/>
      <c r="C43" s="4"/>
      <c r="D43" s="19"/>
      <c r="E43" s="19"/>
      <c r="F43" s="19"/>
      <c r="G43" s="19"/>
      <c r="H43" s="19"/>
      <c r="I43" s="31"/>
      <c r="J43" s="31"/>
      <c r="K43" s="31"/>
      <c r="L43" s="31"/>
      <c r="M43" s="4"/>
    </row>
    <row r="44" spans="2:13" ht="15.75">
      <c r="B44" s="4"/>
      <c r="C44" s="4"/>
      <c r="D44" s="19"/>
      <c r="E44" s="19"/>
      <c r="F44" s="19"/>
      <c r="G44" s="19"/>
      <c r="H44" s="19"/>
      <c r="I44" s="31"/>
      <c r="J44" s="31"/>
      <c r="K44" s="31"/>
      <c r="L44" s="31"/>
      <c r="M44" s="4"/>
    </row>
    <row r="45" spans="2:13" ht="15.75">
      <c r="B45" s="4"/>
      <c r="C45" s="4"/>
      <c r="D45" s="19"/>
      <c r="E45" s="19"/>
      <c r="F45" s="19"/>
      <c r="G45" s="19"/>
      <c r="H45" s="19"/>
      <c r="I45" s="31"/>
      <c r="J45" s="31"/>
      <c r="K45" s="31"/>
      <c r="L45" s="31"/>
      <c r="M45" s="4"/>
    </row>
    <row r="46" spans="2:13" ht="15.75">
      <c r="B46" s="4"/>
      <c r="C46" s="4"/>
      <c r="D46" s="19"/>
      <c r="E46" s="19"/>
      <c r="F46" s="19"/>
      <c r="G46" s="19"/>
      <c r="H46" s="19"/>
      <c r="I46" s="31"/>
      <c r="J46" s="31"/>
      <c r="K46" s="31"/>
      <c r="L46" s="31"/>
      <c r="M46" s="4"/>
    </row>
    <row r="47" spans="2:13" ht="15.75">
      <c r="B47" s="4"/>
      <c r="C47" s="4"/>
      <c r="D47" s="19"/>
      <c r="E47" s="19"/>
      <c r="F47" s="19"/>
      <c r="G47" s="19"/>
      <c r="H47" s="19"/>
      <c r="I47" s="31"/>
      <c r="J47" s="31"/>
      <c r="K47" s="31"/>
      <c r="L47" s="31"/>
      <c r="M47" s="4"/>
    </row>
    <row r="48" spans="2:13" ht="15.75">
      <c r="B48" s="4"/>
      <c r="C48" s="4"/>
      <c r="D48" s="19"/>
      <c r="E48" s="19"/>
      <c r="F48" s="19"/>
      <c r="G48" s="19"/>
      <c r="H48" s="19"/>
      <c r="I48" s="31"/>
      <c r="J48" s="31"/>
      <c r="K48" s="31"/>
      <c r="L48" s="31"/>
      <c r="M48" s="4"/>
    </row>
    <row r="49" spans="2:13" ht="15.75">
      <c r="B49" s="4"/>
      <c r="C49" s="4"/>
      <c r="D49" s="19"/>
      <c r="E49" s="19"/>
      <c r="F49" s="19"/>
      <c r="G49" s="19"/>
      <c r="H49" s="19"/>
      <c r="I49" s="31"/>
      <c r="J49" s="31"/>
      <c r="K49" s="31"/>
      <c r="L49" s="31"/>
      <c r="M49" s="4"/>
    </row>
    <row r="50" spans="2:13" ht="15.75">
      <c r="B50" s="4"/>
      <c r="C50" s="4"/>
      <c r="D50" s="19"/>
      <c r="E50" s="19"/>
      <c r="F50" s="19"/>
      <c r="G50" s="19"/>
      <c r="H50" s="19"/>
      <c r="I50" s="31"/>
      <c r="J50" s="31"/>
      <c r="K50" s="31"/>
      <c r="L50" s="31"/>
      <c r="M50" s="4"/>
    </row>
    <row r="51" spans="2:13" ht="15.75">
      <c r="B51" s="4"/>
      <c r="C51" s="4"/>
      <c r="D51" s="19"/>
      <c r="E51" s="19"/>
      <c r="F51" s="19"/>
      <c r="G51" s="19"/>
      <c r="H51" s="19"/>
      <c r="I51" s="31"/>
      <c r="J51" s="31"/>
      <c r="K51" s="31"/>
      <c r="L51" s="31"/>
      <c r="M51" s="4"/>
    </row>
    <row r="52" spans="2:13" ht="15.75">
      <c r="B52" s="4"/>
      <c r="C52" s="4"/>
      <c r="D52" s="19"/>
      <c r="E52" s="19"/>
      <c r="F52" s="19"/>
      <c r="G52" s="19"/>
      <c r="H52" s="19"/>
      <c r="I52" s="31"/>
      <c r="J52" s="31"/>
      <c r="K52" s="31"/>
      <c r="L52" s="31"/>
      <c r="M52" s="4"/>
    </row>
    <row r="53" spans="2:13" ht="15.75">
      <c r="B53" s="4"/>
      <c r="C53" s="4"/>
      <c r="D53" s="19"/>
      <c r="E53" s="19"/>
      <c r="F53" s="19"/>
      <c r="G53" s="19"/>
      <c r="H53" s="19"/>
      <c r="I53" s="31"/>
      <c r="J53" s="31"/>
      <c r="K53" s="31"/>
      <c r="L53" s="31"/>
      <c r="M53" s="4"/>
    </row>
    <row r="54" spans="2:13" ht="15.75">
      <c r="B54" s="4"/>
      <c r="C54" s="4"/>
      <c r="D54" s="19"/>
      <c r="E54" s="19"/>
      <c r="F54" s="19"/>
      <c r="G54" s="19"/>
      <c r="H54" s="19"/>
      <c r="I54" s="31"/>
      <c r="J54" s="31"/>
      <c r="K54" s="31"/>
      <c r="L54" s="31"/>
      <c r="M54" s="4"/>
    </row>
    <row r="55" spans="2:13" ht="15.75">
      <c r="B55" s="4"/>
      <c r="C55" s="4"/>
      <c r="D55" s="19"/>
      <c r="E55" s="19"/>
      <c r="F55" s="19"/>
      <c r="G55" s="19"/>
      <c r="H55" s="19"/>
      <c r="I55" s="31"/>
      <c r="J55" s="31"/>
      <c r="K55" s="31"/>
      <c r="L55" s="31"/>
      <c r="M55" s="4"/>
    </row>
    <row r="56" spans="2:13" ht="15.75">
      <c r="B56" s="4"/>
      <c r="C56" s="4"/>
      <c r="D56" s="19"/>
      <c r="E56" s="19"/>
      <c r="F56" s="19"/>
      <c r="G56" s="19"/>
      <c r="H56" s="19"/>
      <c r="I56" s="31"/>
      <c r="J56" s="31"/>
      <c r="K56" s="31"/>
      <c r="L56" s="31"/>
      <c r="M56" s="4"/>
    </row>
    <row r="57" spans="2:13" ht="15.75">
      <c r="B57" s="4"/>
      <c r="C57" s="4"/>
      <c r="D57" s="19"/>
      <c r="E57" s="19"/>
      <c r="F57" s="19"/>
      <c r="G57" s="19"/>
      <c r="H57" s="19"/>
      <c r="I57" s="31"/>
      <c r="J57" s="31"/>
      <c r="K57" s="31"/>
      <c r="L57" s="31"/>
      <c r="M57" s="4"/>
    </row>
    <row r="58" spans="2:13" ht="15.75">
      <c r="B58" s="4"/>
      <c r="C58" s="4"/>
      <c r="D58" s="19"/>
      <c r="E58" s="19"/>
      <c r="F58" s="19"/>
      <c r="G58" s="19"/>
      <c r="H58" s="19"/>
      <c r="I58" s="31"/>
      <c r="J58" s="31"/>
      <c r="K58" s="31"/>
      <c r="L58" s="31"/>
      <c r="M58" s="4"/>
    </row>
    <row r="59" spans="2:13" ht="15.75">
      <c r="B59" s="4"/>
      <c r="C59" s="4"/>
      <c r="D59" s="19"/>
      <c r="E59" s="19"/>
      <c r="F59" s="19"/>
      <c r="G59" s="19"/>
      <c r="H59" s="19"/>
      <c r="I59" s="31"/>
      <c r="J59" s="31"/>
      <c r="K59" s="31"/>
      <c r="L59" s="31"/>
      <c r="M59" s="4"/>
    </row>
    <row r="60" spans="2:13" ht="15.75">
      <c r="B60" s="4"/>
      <c r="C60" s="4"/>
      <c r="D60" s="19"/>
      <c r="E60" s="19"/>
      <c r="F60" s="19"/>
      <c r="G60" s="19"/>
      <c r="H60" s="19"/>
      <c r="I60" s="31"/>
      <c r="J60" s="31"/>
      <c r="K60" s="31"/>
      <c r="L60" s="31"/>
      <c r="M60" s="4"/>
    </row>
    <row r="61" spans="2:13" ht="15.75">
      <c r="B61" s="4"/>
      <c r="C61" s="4"/>
      <c r="D61" s="19"/>
      <c r="E61" s="19"/>
      <c r="F61" s="19"/>
      <c r="G61" s="19"/>
      <c r="H61" s="19"/>
      <c r="I61" s="31"/>
      <c r="J61" s="31"/>
      <c r="K61" s="31"/>
      <c r="L61" s="31"/>
      <c r="M61" s="4"/>
    </row>
    <row r="62" spans="2:13" ht="15.75">
      <c r="B62" s="4"/>
      <c r="C62" s="4"/>
      <c r="D62" s="19"/>
      <c r="E62" s="19"/>
      <c r="F62" s="19"/>
      <c r="G62" s="19"/>
      <c r="H62" s="19"/>
      <c r="I62" s="31"/>
      <c r="J62" s="31"/>
      <c r="K62" s="31"/>
      <c r="L62" s="31"/>
      <c r="M62" s="4"/>
    </row>
    <row r="63" spans="2:13" ht="15.75">
      <c r="B63" s="4"/>
      <c r="C63" s="4"/>
      <c r="D63" s="19"/>
      <c r="E63" s="19"/>
      <c r="F63" s="19"/>
      <c r="G63" s="19"/>
      <c r="H63" s="19"/>
      <c r="I63" s="31"/>
      <c r="J63" s="31"/>
      <c r="K63" s="31"/>
      <c r="L63" s="31"/>
      <c r="M63" s="4"/>
    </row>
    <row r="64" spans="2:13" ht="15.75">
      <c r="B64" s="4"/>
      <c r="C64" s="4"/>
      <c r="D64" s="19"/>
      <c r="E64" s="19"/>
      <c r="F64" s="19"/>
      <c r="G64" s="19"/>
      <c r="H64" s="19"/>
      <c r="I64" s="31"/>
      <c r="J64" s="31"/>
      <c r="K64" s="31"/>
      <c r="L64" s="31"/>
      <c r="M64" s="4"/>
    </row>
    <row r="65" spans="2:13" ht="15.75">
      <c r="B65" s="4"/>
      <c r="C65" s="4"/>
      <c r="D65" s="19"/>
      <c r="E65" s="19"/>
      <c r="F65" s="19"/>
      <c r="G65" s="19"/>
      <c r="H65" s="19"/>
      <c r="I65" s="31"/>
      <c r="J65" s="31"/>
      <c r="K65" s="31"/>
      <c r="L65" s="31"/>
      <c r="M65" s="4"/>
    </row>
    <row r="66" spans="2:13" ht="15.75">
      <c r="B66" s="4"/>
      <c r="C66" s="4"/>
      <c r="D66" s="19"/>
      <c r="E66" s="19"/>
      <c r="F66" s="19"/>
      <c r="G66" s="19"/>
      <c r="H66" s="19"/>
      <c r="I66" s="31"/>
      <c r="J66" s="31"/>
      <c r="K66" s="31"/>
      <c r="L66" s="31"/>
      <c r="M66" s="4"/>
    </row>
    <row r="67" spans="2:13" ht="15.75">
      <c r="B67" s="4"/>
      <c r="C67" s="4"/>
      <c r="D67" s="19"/>
      <c r="E67" s="19"/>
      <c r="F67" s="19"/>
      <c r="G67" s="19"/>
      <c r="H67" s="19"/>
      <c r="I67" s="31"/>
      <c r="J67" s="31"/>
      <c r="K67" s="31"/>
      <c r="L67" s="31"/>
      <c r="M67" s="4"/>
    </row>
    <row r="68" spans="2:13" ht="15.75">
      <c r="B68" s="4"/>
      <c r="C68" s="4"/>
      <c r="D68" s="19"/>
      <c r="E68" s="19"/>
      <c r="F68" s="19"/>
      <c r="G68" s="19"/>
      <c r="H68" s="19"/>
      <c r="I68" s="31"/>
      <c r="J68" s="31"/>
      <c r="K68" s="31"/>
      <c r="L68" s="31"/>
      <c r="M68" s="4"/>
    </row>
    <row r="69" spans="2:13" ht="15.75">
      <c r="B69" s="4"/>
      <c r="C69" s="4"/>
      <c r="D69" s="19"/>
      <c r="E69" s="19"/>
      <c r="F69" s="19"/>
      <c r="G69" s="19"/>
      <c r="H69" s="19"/>
      <c r="I69" s="31"/>
      <c r="J69" s="31"/>
      <c r="K69" s="31"/>
      <c r="L69" s="31"/>
      <c r="M69" s="4"/>
    </row>
    <row r="70" spans="2:13" ht="15.75">
      <c r="B70" s="4"/>
      <c r="C70" s="4"/>
      <c r="D70" s="19"/>
      <c r="E70" s="19"/>
      <c r="F70" s="19"/>
      <c r="G70" s="19"/>
      <c r="H70" s="19"/>
      <c r="I70" s="31"/>
      <c r="J70" s="31"/>
      <c r="K70" s="31"/>
      <c r="L70" s="31"/>
      <c r="M70" s="4"/>
    </row>
    <row r="71" spans="2:13" ht="15.75">
      <c r="B71" s="4"/>
      <c r="C71" s="4"/>
      <c r="D71" s="19"/>
      <c r="E71" s="19"/>
      <c r="F71" s="19"/>
      <c r="G71" s="19"/>
      <c r="H71" s="19"/>
      <c r="I71" s="31"/>
      <c r="J71" s="31"/>
      <c r="K71" s="31"/>
      <c r="L71" s="31"/>
      <c r="M71" s="4"/>
    </row>
    <row r="72" spans="2:13" ht="15.75">
      <c r="B72" s="4"/>
      <c r="C72" s="4"/>
      <c r="D72" s="19"/>
      <c r="E72" s="19"/>
      <c r="F72" s="19"/>
      <c r="G72" s="19"/>
      <c r="H72" s="19"/>
      <c r="I72" s="31"/>
      <c r="J72" s="31"/>
      <c r="K72" s="31"/>
      <c r="L72" s="31"/>
      <c r="M72" s="4"/>
    </row>
    <row r="73" spans="2:13" ht="15.75">
      <c r="B73" s="4"/>
      <c r="C73" s="4"/>
      <c r="D73" s="19"/>
      <c r="E73" s="19"/>
      <c r="F73" s="19"/>
      <c r="G73" s="19"/>
      <c r="H73" s="19"/>
      <c r="I73" s="31"/>
      <c r="J73" s="31"/>
      <c r="K73" s="31"/>
      <c r="L73" s="31"/>
      <c r="M73" s="4"/>
    </row>
    <row r="74" spans="2:13" ht="15.75">
      <c r="B74" s="4"/>
      <c r="C74" s="4"/>
      <c r="D74" s="19"/>
      <c r="E74" s="19"/>
      <c r="F74" s="19"/>
      <c r="G74" s="19"/>
      <c r="H74" s="19"/>
      <c r="I74" s="31"/>
      <c r="J74" s="31"/>
      <c r="K74" s="31"/>
      <c r="L74" s="31"/>
      <c r="M74" s="4"/>
    </row>
    <row r="75" spans="2:13" ht="15.75">
      <c r="B75" s="4"/>
      <c r="C75" s="4"/>
      <c r="D75" s="19"/>
      <c r="E75" s="19"/>
      <c r="F75" s="19"/>
      <c r="G75" s="19"/>
      <c r="H75" s="19"/>
      <c r="I75" s="31"/>
      <c r="J75" s="31"/>
      <c r="K75" s="31"/>
      <c r="L75" s="31"/>
      <c r="M75" s="4"/>
    </row>
    <row r="76" spans="2:13" ht="15.75">
      <c r="B76" s="4"/>
      <c r="C76" s="4"/>
      <c r="D76" s="19"/>
      <c r="E76" s="19"/>
      <c r="F76" s="19"/>
      <c r="G76" s="19"/>
      <c r="H76" s="19"/>
      <c r="I76" s="31"/>
      <c r="J76" s="31"/>
      <c r="K76" s="31"/>
      <c r="L76" s="31"/>
      <c r="M76" s="4"/>
    </row>
    <row r="77" spans="2:13" ht="15.75">
      <c r="B77" s="4"/>
      <c r="C77" s="4"/>
      <c r="D77" s="19"/>
      <c r="E77" s="19"/>
      <c r="F77" s="19"/>
      <c r="G77" s="19"/>
      <c r="H77" s="19"/>
      <c r="I77" s="31"/>
      <c r="J77" s="31"/>
      <c r="K77" s="31"/>
      <c r="L77" s="31"/>
      <c r="M77" s="4"/>
    </row>
    <row r="78" spans="2:13" ht="15.75">
      <c r="B78" s="4"/>
      <c r="C78" s="4"/>
      <c r="D78" s="19"/>
      <c r="E78" s="19"/>
      <c r="F78" s="19"/>
      <c r="G78" s="19"/>
      <c r="H78" s="19"/>
      <c r="I78" s="31"/>
      <c r="J78" s="31"/>
      <c r="K78" s="31"/>
      <c r="L78" s="31"/>
      <c r="M78" s="4"/>
    </row>
    <row r="79" spans="2:13" ht="15.75">
      <c r="B79" s="4"/>
      <c r="C79" s="4"/>
      <c r="D79" s="19"/>
      <c r="E79" s="19"/>
      <c r="F79" s="19"/>
      <c r="G79" s="19"/>
      <c r="H79" s="19"/>
      <c r="I79" s="31"/>
      <c r="J79" s="31"/>
      <c r="K79" s="31"/>
      <c r="L79" s="31"/>
      <c r="M79" s="4"/>
    </row>
    <row r="80" spans="2:13" ht="15.75">
      <c r="B80" s="4"/>
      <c r="C80" s="4"/>
      <c r="D80" s="19"/>
      <c r="E80" s="19"/>
      <c r="F80" s="19"/>
      <c r="G80" s="19"/>
      <c r="H80" s="19"/>
      <c r="I80" s="31"/>
      <c r="J80" s="31"/>
      <c r="K80" s="31"/>
      <c r="L80" s="31"/>
      <c r="M80" s="4"/>
    </row>
    <row r="81" spans="2:13" ht="15.75">
      <c r="B81" s="4"/>
      <c r="C81" s="4"/>
      <c r="D81" s="19"/>
      <c r="E81" s="19"/>
      <c r="F81" s="19"/>
      <c r="G81" s="19"/>
      <c r="H81" s="19"/>
      <c r="I81" s="31"/>
      <c r="J81" s="31"/>
      <c r="K81" s="31"/>
      <c r="L81" s="31"/>
      <c r="M81" s="4"/>
    </row>
    <row r="82" spans="2:13" ht="15.75">
      <c r="B82" s="4"/>
      <c r="C82" s="4"/>
      <c r="D82" s="19"/>
      <c r="E82" s="19"/>
      <c r="F82" s="19"/>
      <c r="G82" s="19"/>
      <c r="H82" s="19"/>
      <c r="I82" s="31"/>
      <c r="J82" s="31"/>
      <c r="K82" s="31"/>
      <c r="L82" s="31"/>
      <c r="M82" s="4"/>
    </row>
    <row r="83" spans="2:13" ht="15.75">
      <c r="B83" s="4"/>
      <c r="C83" s="4"/>
      <c r="D83" s="19"/>
      <c r="E83" s="19"/>
      <c r="F83" s="19"/>
      <c r="G83" s="19"/>
      <c r="H83" s="19"/>
      <c r="I83" s="31"/>
      <c r="J83" s="31"/>
      <c r="K83" s="31"/>
      <c r="L83" s="31"/>
      <c r="M83" s="4"/>
    </row>
    <row r="84" spans="2:13" ht="15.75">
      <c r="B84" s="4"/>
      <c r="C84" s="4"/>
      <c r="D84" s="19"/>
      <c r="E84" s="19"/>
      <c r="F84" s="19"/>
      <c r="G84" s="19"/>
      <c r="H84" s="19"/>
      <c r="I84" s="31"/>
      <c r="J84" s="31"/>
      <c r="K84" s="31"/>
      <c r="L84" s="31"/>
      <c r="M84" s="4"/>
    </row>
    <row r="85" spans="2:13" ht="15.75">
      <c r="B85" s="4"/>
      <c r="C85" s="4"/>
      <c r="D85" s="19"/>
      <c r="E85" s="19"/>
      <c r="F85" s="19"/>
      <c r="G85" s="19"/>
      <c r="H85" s="19"/>
      <c r="I85" s="31"/>
      <c r="J85" s="31"/>
      <c r="K85" s="31"/>
      <c r="L85" s="31"/>
      <c r="M85" s="4"/>
    </row>
    <row r="86" spans="2:13" ht="15.75">
      <c r="B86" s="4"/>
      <c r="C86" s="4"/>
      <c r="D86" s="19"/>
      <c r="E86" s="19"/>
      <c r="F86" s="19"/>
      <c r="G86" s="19"/>
      <c r="H86" s="19"/>
      <c r="I86" s="31"/>
      <c r="J86" s="31"/>
      <c r="K86" s="31"/>
      <c r="L86" s="31"/>
      <c r="M86" s="4"/>
    </row>
    <row r="87" spans="2:13" ht="15.75">
      <c r="B87" s="4"/>
      <c r="C87" s="4"/>
      <c r="D87" s="19"/>
      <c r="E87" s="19"/>
      <c r="F87" s="19"/>
      <c r="G87" s="19"/>
      <c r="H87" s="19"/>
      <c r="I87" s="31"/>
      <c r="J87" s="31"/>
      <c r="K87" s="31"/>
      <c r="L87" s="31"/>
      <c r="M87" s="4"/>
    </row>
    <row r="88" spans="2:13" ht="15.75">
      <c r="B88" s="4"/>
      <c r="C88" s="4"/>
      <c r="D88" s="19"/>
      <c r="E88" s="19"/>
      <c r="F88" s="19"/>
      <c r="G88" s="19"/>
      <c r="H88" s="19"/>
      <c r="I88" s="31"/>
      <c r="J88" s="31"/>
      <c r="K88" s="31"/>
      <c r="L88" s="31"/>
      <c r="M88" s="4"/>
    </row>
    <row r="89" spans="2:13" ht="15.75">
      <c r="B89" s="4"/>
      <c r="C89" s="4"/>
      <c r="D89" s="19"/>
      <c r="E89" s="19"/>
      <c r="F89" s="19"/>
      <c r="G89" s="19"/>
      <c r="H89" s="19"/>
      <c r="I89" s="31"/>
      <c r="J89" s="31"/>
      <c r="K89" s="31"/>
      <c r="L89" s="31"/>
      <c r="M89" s="4"/>
    </row>
  </sheetData>
  <sheetProtection/>
  <mergeCells count="50">
    <mergeCell ref="J1:M1"/>
    <mergeCell ref="J2:M2"/>
    <mergeCell ref="J3:M3"/>
    <mergeCell ref="J4:M4"/>
    <mergeCell ref="B31:B32"/>
    <mergeCell ref="B21:B24"/>
    <mergeCell ref="F17:F18"/>
    <mergeCell ref="C17:C18"/>
    <mergeCell ref="C21:C23"/>
    <mergeCell ref="C19:G19"/>
    <mergeCell ref="B17:B19"/>
    <mergeCell ref="B40:D40"/>
    <mergeCell ref="B41:D41"/>
    <mergeCell ref="M31:M32"/>
    <mergeCell ref="M25:M26"/>
    <mergeCell ref="B27:B28"/>
    <mergeCell ref="C28:G28"/>
    <mergeCell ref="M27:M30"/>
    <mergeCell ref="I41:J41"/>
    <mergeCell ref="B29:B30"/>
    <mergeCell ref="C30:G30"/>
    <mergeCell ref="B36:D36"/>
    <mergeCell ref="I36:J36"/>
    <mergeCell ref="B39:D39"/>
    <mergeCell ref="C32:G32"/>
    <mergeCell ref="B11:M11"/>
    <mergeCell ref="B13:B14"/>
    <mergeCell ref="C13:C14"/>
    <mergeCell ref="D17:D18"/>
    <mergeCell ref="B25:B26"/>
    <mergeCell ref="C26:G26"/>
    <mergeCell ref="I13:L13"/>
    <mergeCell ref="F21:F23"/>
    <mergeCell ref="E21:E23"/>
    <mergeCell ref="D21:D23"/>
    <mergeCell ref="M18:M19"/>
    <mergeCell ref="M21:M24"/>
    <mergeCell ref="C24:G24"/>
    <mergeCell ref="E17:E18"/>
    <mergeCell ref="D13:G13"/>
    <mergeCell ref="J6:M6"/>
    <mergeCell ref="J7:M9"/>
    <mergeCell ref="A31:A32"/>
    <mergeCell ref="A13:A14"/>
    <mergeCell ref="A18:A19"/>
    <mergeCell ref="A21:A24"/>
    <mergeCell ref="A25:A26"/>
    <mergeCell ref="A27:A28"/>
    <mergeCell ref="A29:A30"/>
    <mergeCell ref="M13:M14"/>
  </mergeCells>
  <printOptions/>
  <pageMargins left="0.74" right="0.2362204724409449" top="0.56" bottom="0.31496062992125984" header="0.55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view="pageBreakPreview" zoomScale="75" zoomScaleSheetLayoutView="75" workbookViewId="0" topLeftCell="A1">
      <selection activeCell="J4" sqref="J4:M4"/>
    </sheetView>
  </sheetViews>
  <sheetFormatPr defaultColWidth="9.140625" defaultRowHeight="12.75" outlineLevelCol="1"/>
  <cols>
    <col min="1" max="1" width="9.140625" style="74" customWidth="1"/>
    <col min="2" max="2" width="51.421875" style="10" customWidth="1"/>
    <col min="3" max="3" width="26.57421875" style="10" customWidth="1"/>
    <col min="4" max="5" width="9.140625" style="27" customWidth="1"/>
    <col min="6" max="6" width="13.140625" style="27" customWidth="1"/>
    <col min="7" max="7" width="9.8515625" style="27" customWidth="1"/>
    <col min="8" max="8" width="0.13671875" style="27" customWidth="1" outlineLevel="1"/>
    <col min="9" max="9" width="19.140625" style="49" customWidth="1"/>
    <col min="10" max="10" width="15.8515625" style="49" customWidth="1"/>
    <col min="11" max="11" width="15.57421875" style="49" customWidth="1"/>
    <col min="12" max="12" width="16.8515625" style="35" customWidth="1"/>
    <col min="13" max="13" width="34.8515625" style="10" customWidth="1"/>
    <col min="14" max="14" width="9.140625" style="10" customWidth="1"/>
    <col min="15" max="15" width="14.421875" style="10" bestFit="1" customWidth="1"/>
    <col min="16" max="16" width="9.28125" style="10" bestFit="1" customWidth="1"/>
    <col min="17" max="16384" width="9.140625" style="10" customWidth="1"/>
  </cols>
  <sheetData>
    <row r="1" spans="2:14" ht="15.75">
      <c r="B1" s="4"/>
      <c r="C1" s="4"/>
      <c r="D1" s="19"/>
      <c r="E1" s="19"/>
      <c r="F1" s="19"/>
      <c r="G1" s="19"/>
      <c r="H1" s="19"/>
      <c r="I1" s="76"/>
      <c r="J1" s="214" t="s">
        <v>285</v>
      </c>
      <c r="K1" s="214"/>
      <c r="L1" s="214"/>
      <c r="M1" s="214"/>
      <c r="N1" s="6"/>
    </row>
    <row r="2" spans="2:14" ht="15.75">
      <c r="B2" s="4"/>
      <c r="C2" s="4"/>
      <c r="D2" s="19"/>
      <c r="E2" s="19"/>
      <c r="F2" s="19"/>
      <c r="G2" s="19"/>
      <c r="H2" s="19"/>
      <c r="I2" s="76"/>
      <c r="J2" s="231" t="s">
        <v>282</v>
      </c>
      <c r="K2" s="231"/>
      <c r="L2" s="231"/>
      <c r="M2" s="231"/>
      <c r="N2" s="6"/>
    </row>
    <row r="3" spans="2:14" ht="15.75">
      <c r="B3" s="4"/>
      <c r="C3" s="4"/>
      <c r="D3" s="19"/>
      <c r="E3" s="19"/>
      <c r="F3" s="19"/>
      <c r="G3" s="19"/>
      <c r="H3" s="19"/>
      <c r="I3" s="76"/>
      <c r="J3" s="231" t="s">
        <v>283</v>
      </c>
      <c r="K3" s="231"/>
      <c r="L3" s="231"/>
      <c r="M3" s="231"/>
      <c r="N3" s="6"/>
    </row>
    <row r="4" spans="2:14" ht="15.75">
      <c r="B4" s="4"/>
      <c r="C4" s="4"/>
      <c r="D4" s="19"/>
      <c r="E4" s="19"/>
      <c r="F4" s="19"/>
      <c r="G4" s="19"/>
      <c r="H4" s="19"/>
      <c r="I4" s="76"/>
      <c r="J4" s="231" t="s">
        <v>319</v>
      </c>
      <c r="K4" s="231"/>
      <c r="L4" s="231"/>
      <c r="M4" s="231"/>
      <c r="N4" s="6"/>
    </row>
    <row r="5" spans="2:14" ht="15.75">
      <c r="B5" s="4"/>
      <c r="C5" s="4"/>
      <c r="D5" s="19"/>
      <c r="E5" s="19"/>
      <c r="F5" s="19"/>
      <c r="G5" s="19"/>
      <c r="H5" s="19"/>
      <c r="I5" s="76"/>
      <c r="J5" s="73"/>
      <c r="K5" s="73"/>
      <c r="L5" s="73"/>
      <c r="M5" s="73"/>
      <c r="N5" s="6"/>
    </row>
    <row r="6" spans="2:13" ht="15.75">
      <c r="B6" s="4"/>
      <c r="C6" s="4"/>
      <c r="D6" s="19"/>
      <c r="E6" s="19"/>
      <c r="F6" s="19"/>
      <c r="G6" s="19"/>
      <c r="H6" s="19"/>
      <c r="I6" s="76"/>
      <c r="J6" s="214" t="s">
        <v>247</v>
      </c>
      <c r="K6" s="214"/>
      <c r="L6" s="214"/>
      <c r="M6" s="214"/>
    </row>
    <row r="7" spans="2:13" ht="15.75">
      <c r="B7" s="4"/>
      <c r="C7" s="4"/>
      <c r="D7" s="19"/>
      <c r="E7" s="19"/>
      <c r="F7" s="19"/>
      <c r="G7" s="19"/>
      <c r="H7" s="19"/>
      <c r="I7" s="76"/>
      <c r="J7" s="231" t="s">
        <v>163</v>
      </c>
      <c r="K7" s="231"/>
      <c r="L7" s="231"/>
      <c r="M7" s="231"/>
    </row>
    <row r="8" spans="2:13" ht="15.75">
      <c r="B8" s="4"/>
      <c r="C8" s="4"/>
      <c r="D8" s="19"/>
      <c r="E8" s="19"/>
      <c r="F8" s="19"/>
      <c r="G8" s="19"/>
      <c r="H8" s="19"/>
      <c r="I8" s="76"/>
      <c r="J8" s="231"/>
      <c r="K8" s="231"/>
      <c r="L8" s="231"/>
      <c r="M8" s="231"/>
    </row>
    <row r="9" spans="2:13" ht="15.75">
      <c r="B9" s="4"/>
      <c r="C9" s="4"/>
      <c r="D9" s="19"/>
      <c r="E9" s="19"/>
      <c r="F9" s="19"/>
      <c r="G9" s="19"/>
      <c r="H9" s="19"/>
      <c r="I9" s="76"/>
      <c r="J9" s="231"/>
      <c r="K9" s="231"/>
      <c r="L9" s="231"/>
      <c r="M9" s="231"/>
    </row>
    <row r="10" spans="2:13" ht="15.75">
      <c r="B10" s="4"/>
      <c r="C10" s="4"/>
      <c r="D10" s="19"/>
      <c r="E10" s="19"/>
      <c r="F10" s="19"/>
      <c r="G10" s="19"/>
      <c r="H10" s="19"/>
      <c r="I10" s="50"/>
      <c r="J10" s="73"/>
      <c r="K10" s="50"/>
      <c r="L10" s="243"/>
      <c r="M10" s="243"/>
    </row>
    <row r="11" spans="2:13" ht="15.75">
      <c r="B11" s="246" t="s">
        <v>164</v>
      </c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</row>
    <row r="12" spans="2:13" ht="15.75">
      <c r="B12" s="4"/>
      <c r="C12" s="4"/>
      <c r="D12" s="19"/>
      <c r="E12" s="19"/>
      <c r="F12" s="19"/>
      <c r="G12" s="19"/>
      <c r="H12" s="19"/>
      <c r="I12" s="50"/>
      <c r="J12" s="50"/>
      <c r="K12" s="50"/>
      <c r="L12" s="31"/>
      <c r="M12" s="4"/>
    </row>
    <row r="13" spans="1:15" ht="31.5" customHeight="1">
      <c r="A13" s="199" t="s">
        <v>0</v>
      </c>
      <c r="B13" s="221" t="s">
        <v>1</v>
      </c>
      <c r="C13" s="221" t="s">
        <v>2</v>
      </c>
      <c r="D13" s="238" t="s">
        <v>3</v>
      </c>
      <c r="E13" s="238"/>
      <c r="F13" s="238"/>
      <c r="G13" s="238"/>
      <c r="H13" s="240"/>
      <c r="I13" s="241"/>
      <c r="J13" s="241"/>
      <c r="K13" s="241"/>
      <c r="L13" s="242"/>
      <c r="M13" s="221" t="s">
        <v>14</v>
      </c>
      <c r="N13" s="11"/>
      <c r="O13" s="11"/>
    </row>
    <row r="14" spans="1:13" ht="110.25">
      <c r="A14" s="200"/>
      <c r="B14" s="221"/>
      <c r="C14" s="221"/>
      <c r="D14" s="53" t="s">
        <v>4</v>
      </c>
      <c r="E14" s="53" t="s">
        <v>5</v>
      </c>
      <c r="F14" s="53" t="s">
        <v>6</v>
      </c>
      <c r="G14" s="53" t="s">
        <v>7</v>
      </c>
      <c r="H14" s="139" t="s">
        <v>104</v>
      </c>
      <c r="I14" s="123" t="s">
        <v>141</v>
      </c>
      <c r="J14" s="123" t="s">
        <v>142</v>
      </c>
      <c r="K14" s="123" t="s">
        <v>248</v>
      </c>
      <c r="L14" s="54" t="s">
        <v>275</v>
      </c>
      <c r="M14" s="221"/>
    </row>
    <row r="15" spans="1:15" ht="39" customHeight="1">
      <c r="A15" s="75">
        <v>1</v>
      </c>
      <c r="B15" s="55" t="s">
        <v>268</v>
      </c>
      <c r="C15" s="56" t="s">
        <v>28</v>
      </c>
      <c r="D15" s="57" t="s">
        <v>28</v>
      </c>
      <c r="E15" s="57" t="s">
        <v>28</v>
      </c>
      <c r="F15" s="57" t="s">
        <v>28</v>
      </c>
      <c r="G15" s="57" t="s">
        <v>28</v>
      </c>
      <c r="H15" s="82">
        <f>H16+H55+H73+H111+H40</f>
        <v>88184.09600000002</v>
      </c>
      <c r="I15" s="82">
        <f>I16+I40+I55+I73+I111+I126</f>
        <v>102295.589</v>
      </c>
      <c r="J15" s="82">
        <f>J16+J40+J55+J73+J111</f>
        <v>86717.91399999999</v>
      </c>
      <c r="K15" s="82">
        <f>K16+K40+K55+K73+K111</f>
        <v>86722.981</v>
      </c>
      <c r="L15" s="82">
        <f>I15+J15+K15</f>
        <v>275736.484</v>
      </c>
      <c r="M15" s="58" t="s">
        <v>28</v>
      </c>
      <c r="O15" s="183">
        <f>J15-86717.914</f>
        <v>0</v>
      </c>
    </row>
    <row r="16" spans="1:15" s="38" customFormat="1" ht="52.5" customHeight="1" thickBot="1">
      <c r="A16" s="117">
        <v>2</v>
      </c>
      <c r="B16" s="158" t="s">
        <v>271</v>
      </c>
      <c r="C16" s="159" t="s">
        <v>28</v>
      </c>
      <c r="D16" s="160" t="s">
        <v>28</v>
      </c>
      <c r="E16" s="160" t="s">
        <v>28</v>
      </c>
      <c r="F16" s="160" t="s">
        <v>28</v>
      </c>
      <c r="G16" s="160" t="s">
        <v>28</v>
      </c>
      <c r="H16" s="161">
        <f>H18+H30+H35+H37+H39</f>
        <v>43084.250000000015</v>
      </c>
      <c r="I16" s="161">
        <f>I18+I30+I35+I37+I39</f>
        <v>46370.341</v>
      </c>
      <c r="J16" s="161">
        <f>J18+J30+J35+J37+J39</f>
        <v>43599.411</v>
      </c>
      <c r="K16" s="161">
        <f>K18+K30+K35+K37+K39</f>
        <v>43604.478</v>
      </c>
      <c r="L16" s="161">
        <f>I16+J16+K16</f>
        <v>133574.23</v>
      </c>
      <c r="M16" s="162" t="s">
        <v>28</v>
      </c>
      <c r="O16" s="184"/>
    </row>
    <row r="17" spans="1:15" ht="65.25" customHeight="1">
      <c r="A17" s="265">
        <v>3</v>
      </c>
      <c r="B17" s="272" t="s">
        <v>165</v>
      </c>
      <c r="C17" s="163" t="s">
        <v>157</v>
      </c>
      <c r="D17" s="164" t="s">
        <v>37</v>
      </c>
      <c r="E17" s="164" t="s">
        <v>166</v>
      </c>
      <c r="F17" s="165" t="s">
        <v>167</v>
      </c>
      <c r="G17" s="164" t="s">
        <v>37</v>
      </c>
      <c r="H17" s="166">
        <v>0</v>
      </c>
      <c r="I17" s="166">
        <v>0</v>
      </c>
      <c r="J17" s="167">
        <v>0</v>
      </c>
      <c r="K17" s="167">
        <v>0</v>
      </c>
      <c r="L17" s="166">
        <f>I17+J17+K17</f>
        <v>0</v>
      </c>
      <c r="M17" s="290" t="s">
        <v>168</v>
      </c>
      <c r="O17" s="183"/>
    </row>
    <row r="18" spans="1:15" ht="15.75" customHeight="1" thickBot="1">
      <c r="A18" s="266"/>
      <c r="B18" s="273"/>
      <c r="C18" s="269" t="s">
        <v>45</v>
      </c>
      <c r="D18" s="270"/>
      <c r="E18" s="270"/>
      <c r="F18" s="270"/>
      <c r="G18" s="271"/>
      <c r="H18" s="168">
        <f>H17</f>
        <v>0</v>
      </c>
      <c r="I18" s="168">
        <f>I17</f>
        <v>0</v>
      </c>
      <c r="J18" s="169">
        <f>I18</f>
        <v>0</v>
      </c>
      <c r="K18" s="169">
        <f aca="true" t="shared" si="0" ref="K18:K86">J18</f>
        <v>0</v>
      </c>
      <c r="L18" s="168">
        <f>SUM(H18:K18)</f>
        <v>0</v>
      </c>
      <c r="M18" s="291"/>
      <c r="O18" s="183"/>
    </row>
    <row r="19" spans="1:13" ht="15.75" customHeight="1">
      <c r="A19" s="265">
        <v>4</v>
      </c>
      <c r="B19" s="272" t="s">
        <v>169</v>
      </c>
      <c r="C19" s="287" t="s">
        <v>293</v>
      </c>
      <c r="D19" s="283" t="s">
        <v>37</v>
      </c>
      <c r="E19" s="283" t="s">
        <v>170</v>
      </c>
      <c r="F19" s="288" t="s">
        <v>294</v>
      </c>
      <c r="G19" s="164" t="s">
        <v>39</v>
      </c>
      <c r="H19" s="166">
        <f>15759.368+3590.37+1162.967</f>
        <v>20512.705</v>
      </c>
      <c r="I19" s="166">
        <f>585.825+6028.877+14718.412</f>
        <v>21333.114</v>
      </c>
      <c r="J19" s="166">
        <f>2343.397+7234.652+11755.165</f>
        <v>21333.214</v>
      </c>
      <c r="K19" s="166">
        <f>2343.397+7234.652+11755.165</f>
        <v>21333.214</v>
      </c>
      <c r="L19" s="170">
        <f aca="true" t="shared" si="1" ref="L19:L30">I19+J19+K19</f>
        <v>63999.542</v>
      </c>
      <c r="M19" s="267" t="s">
        <v>171</v>
      </c>
    </row>
    <row r="20" spans="1:15" ht="15.75">
      <c r="A20" s="274"/>
      <c r="B20" s="219"/>
      <c r="C20" s="221"/>
      <c r="D20" s="224"/>
      <c r="E20" s="224"/>
      <c r="F20" s="238"/>
      <c r="G20" s="60" t="s">
        <v>40</v>
      </c>
      <c r="H20" s="48">
        <f>927.537</f>
        <v>927.537</v>
      </c>
      <c r="I20" s="48">
        <f>170+1007.537</f>
        <v>1177.537</v>
      </c>
      <c r="J20" s="48">
        <f>318.037+170+689.5</f>
        <v>1177.537</v>
      </c>
      <c r="K20" s="48">
        <f>318.037+170+689.5</f>
        <v>1177.537</v>
      </c>
      <c r="L20" s="171">
        <f t="shared" si="1"/>
        <v>3532.611</v>
      </c>
      <c r="M20" s="267"/>
      <c r="O20" s="183"/>
    </row>
    <row r="21" spans="1:13" ht="15.75">
      <c r="A21" s="274"/>
      <c r="B21" s="219"/>
      <c r="C21" s="221"/>
      <c r="D21" s="224"/>
      <c r="E21" s="224"/>
      <c r="F21" s="238"/>
      <c r="G21" s="60" t="s">
        <v>106</v>
      </c>
      <c r="H21" s="48">
        <f>4759.327+1084.292+351.216</f>
        <v>6194.835000000001</v>
      </c>
      <c r="I21" s="48">
        <f>176.949+1820.72+4444.958</f>
        <v>6442.6269999999995</v>
      </c>
      <c r="J21" s="48">
        <f>2184.864+707.705+3550.058</f>
        <v>6442.627</v>
      </c>
      <c r="K21" s="48">
        <f>2184.864+707.705+3550.058</f>
        <v>6442.627</v>
      </c>
      <c r="L21" s="171">
        <f t="shared" si="1"/>
        <v>19327.881</v>
      </c>
      <c r="M21" s="267"/>
    </row>
    <row r="22" spans="1:13" ht="15.75">
      <c r="A22" s="274"/>
      <c r="B22" s="219"/>
      <c r="C22" s="221"/>
      <c r="D22" s="224"/>
      <c r="E22" s="224"/>
      <c r="F22" s="238"/>
      <c r="G22" s="60" t="s">
        <v>37</v>
      </c>
      <c r="H22" s="48">
        <v>7359.069</v>
      </c>
      <c r="I22" s="48">
        <f>7778.624+166+371.945</f>
        <v>8316.569</v>
      </c>
      <c r="J22" s="48">
        <f>3350.628+116+3619.911</f>
        <v>7086.539000000001</v>
      </c>
      <c r="K22" s="48">
        <f>3350.628+116+3619.911</f>
        <v>7086.539000000001</v>
      </c>
      <c r="L22" s="171">
        <f t="shared" si="1"/>
        <v>22489.647</v>
      </c>
      <c r="M22" s="267"/>
    </row>
    <row r="23" spans="1:13" ht="15.75">
      <c r="A23" s="274"/>
      <c r="B23" s="219"/>
      <c r="C23" s="221"/>
      <c r="D23" s="224"/>
      <c r="E23" s="224"/>
      <c r="F23" s="238"/>
      <c r="G23" s="60" t="s">
        <v>172</v>
      </c>
      <c r="H23" s="48">
        <v>0</v>
      </c>
      <c r="I23" s="48">
        <v>0</v>
      </c>
      <c r="J23" s="80">
        <f>I23</f>
        <v>0</v>
      </c>
      <c r="K23" s="80">
        <f t="shared" si="0"/>
        <v>0</v>
      </c>
      <c r="L23" s="171">
        <f t="shared" si="1"/>
        <v>0</v>
      </c>
      <c r="M23" s="267"/>
    </row>
    <row r="24" spans="1:13" ht="15.75">
      <c r="A24" s="274"/>
      <c r="B24" s="219"/>
      <c r="C24" s="221"/>
      <c r="D24" s="224"/>
      <c r="E24" s="224"/>
      <c r="F24" s="238"/>
      <c r="G24" s="60" t="s">
        <v>41</v>
      </c>
      <c r="H24" s="48">
        <f>5+7.5</f>
        <v>12.5</v>
      </c>
      <c r="I24" s="48">
        <f>1+4</f>
        <v>5</v>
      </c>
      <c r="J24" s="80">
        <f>1+4</f>
        <v>5</v>
      </c>
      <c r="K24" s="80">
        <f>1+4</f>
        <v>5</v>
      </c>
      <c r="L24" s="171">
        <f t="shared" si="1"/>
        <v>15</v>
      </c>
      <c r="M24" s="267"/>
    </row>
    <row r="25" spans="1:13" ht="15.75">
      <c r="A25" s="274"/>
      <c r="B25" s="219"/>
      <c r="C25" s="221"/>
      <c r="D25" s="224"/>
      <c r="E25" s="224"/>
      <c r="F25" s="238"/>
      <c r="G25" s="60" t="s">
        <v>134</v>
      </c>
      <c r="H25" s="48">
        <v>0</v>
      </c>
      <c r="I25" s="48">
        <v>0</v>
      </c>
      <c r="J25" s="80">
        <f>I25</f>
        <v>0</v>
      </c>
      <c r="K25" s="80">
        <f t="shared" si="0"/>
        <v>0</v>
      </c>
      <c r="L25" s="171">
        <f t="shared" si="1"/>
        <v>0</v>
      </c>
      <c r="M25" s="267"/>
    </row>
    <row r="26" spans="1:13" ht="15.75" customHeight="1">
      <c r="A26" s="274"/>
      <c r="B26" s="219"/>
      <c r="C26" s="221"/>
      <c r="D26" s="224"/>
      <c r="E26" s="224" t="s">
        <v>60</v>
      </c>
      <c r="F26" s="238" t="s">
        <v>295</v>
      </c>
      <c r="G26" s="60" t="s">
        <v>39</v>
      </c>
      <c r="H26" s="48">
        <v>3989.489</v>
      </c>
      <c r="I26" s="48">
        <f>3869.309</f>
        <v>3869.309</v>
      </c>
      <c r="J26" s="80">
        <f>3869.309</f>
        <v>3869.309</v>
      </c>
      <c r="K26" s="80">
        <f>3869.309</f>
        <v>3869.309</v>
      </c>
      <c r="L26" s="171">
        <f t="shared" si="1"/>
        <v>11607.927</v>
      </c>
      <c r="M26" s="267"/>
    </row>
    <row r="27" spans="1:13" ht="15.75">
      <c r="A27" s="274"/>
      <c r="B27" s="219"/>
      <c r="C27" s="221"/>
      <c r="D27" s="224"/>
      <c r="E27" s="224"/>
      <c r="F27" s="238"/>
      <c r="G27" s="60" t="s">
        <v>40</v>
      </c>
      <c r="H27" s="48">
        <v>168.305</v>
      </c>
      <c r="I27" s="48">
        <f>542.055</f>
        <v>542.055</v>
      </c>
      <c r="J27" s="48">
        <f>342.055</f>
        <v>342.055</v>
      </c>
      <c r="K27" s="48">
        <f>342.055</f>
        <v>342.055</v>
      </c>
      <c r="L27" s="171">
        <f t="shared" si="1"/>
        <v>1226.165</v>
      </c>
      <c r="M27" s="267"/>
    </row>
    <row r="28" spans="1:13" ht="15.75">
      <c r="A28" s="274"/>
      <c r="B28" s="219"/>
      <c r="C28" s="221"/>
      <c r="D28" s="224"/>
      <c r="E28" s="224"/>
      <c r="F28" s="238"/>
      <c r="G28" s="60" t="s">
        <v>106</v>
      </c>
      <c r="H28" s="48">
        <v>1204.588</v>
      </c>
      <c r="I28" s="48">
        <f>1168.532</f>
        <v>1168.532</v>
      </c>
      <c r="J28" s="48">
        <f>1168.532</f>
        <v>1168.532</v>
      </c>
      <c r="K28" s="48">
        <f>1168.532</f>
        <v>1168.532</v>
      </c>
      <c r="L28" s="171">
        <f t="shared" si="1"/>
        <v>3505.5959999999995</v>
      </c>
      <c r="M28" s="267"/>
    </row>
    <row r="29" spans="1:13" ht="15.75">
      <c r="A29" s="274"/>
      <c r="B29" s="219"/>
      <c r="C29" s="221"/>
      <c r="D29" s="224"/>
      <c r="E29" s="224"/>
      <c r="F29" s="238"/>
      <c r="G29" s="60" t="s">
        <v>37</v>
      </c>
      <c r="H29" s="48">
        <v>2203.922</v>
      </c>
      <c r="I29" s="48">
        <f>1945.598</f>
        <v>1945.598</v>
      </c>
      <c r="J29" s="48">
        <f>1545.598</f>
        <v>1545.598</v>
      </c>
      <c r="K29" s="48">
        <f>1545.598</f>
        <v>1545.598</v>
      </c>
      <c r="L29" s="171">
        <f t="shared" si="1"/>
        <v>5036.794</v>
      </c>
      <c r="M29" s="267"/>
    </row>
    <row r="30" spans="1:15" ht="16.5" thickBot="1">
      <c r="A30" s="266"/>
      <c r="B30" s="273"/>
      <c r="C30" s="269" t="s">
        <v>55</v>
      </c>
      <c r="D30" s="270"/>
      <c r="E30" s="270"/>
      <c r="F30" s="270"/>
      <c r="G30" s="271"/>
      <c r="H30" s="168">
        <f>SUM(H19:H29)</f>
        <v>42572.95000000001</v>
      </c>
      <c r="I30" s="168">
        <f>I19+I20+I21+I22+I23+I24+I25+I26+I27+I28+I29</f>
        <v>44800.341</v>
      </c>
      <c r="J30" s="168">
        <f>J19+J20+J21+J22+J23+J24+J25+J26+J27+J28+J29</f>
        <v>42970.411</v>
      </c>
      <c r="K30" s="168">
        <f>K19+K20+K21+K22+K23+K24+K25+K26+K27+K28+K29</f>
        <v>42970.411</v>
      </c>
      <c r="L30" s="172">
        <f t="shared" si="1"/>
        <v>130741.163</v>
      </c>
      <c r="M30" s="267"/>
      <c r="O30" s="183"/>
    </row>
    <row r="31" spans="1:13" ht="15.75" customHeight="1" hidden="1">
      <c r="A31" s="173"/>
      <c r="B31" s="272" t="s">
        <v>173</v>
      </c>
      <c r="C31" s="287" t="s">
        <v>157</v>
      </c>
      <c r="D31" s="283" t="s">
        <v>37</v>
      </c>
      <c r="E31" s="283" t="s">
        <v>170</v>
      </c>
      <c r="F31" s="288" t="s">
        <v>174</v>
      </c>
      <c r="G31" s="164" t="s">
        <v>39</v>
      </c>
      <c r="H31" s="166"/>
      <c r="I31" s="166"/>
      <c r="J31" s="167">
        <f>I31</f>
        <v>0</v>
      </c>
      <c r="K31" s="167">
        <f t="shared" si="0"/>
        <v>0</v>
      </c>
      <c r="L31" s="170">
        <f>SUM(H31:K31)</f>
        <v>0</v>
      </c>
      <c r="M31" s="267"/>
    </row>
    <row r="32" spans="1:13" ht="15.75" customHeight="1" hidden="1">
      <c r="A32" s="174"/>
      <c r="B32" s="219"/>
      <c r="C32" s="221"/>
      <c r="D32" s="224"/>
      <c r="E32" s="224"/>
      <c r="F32" s="224"/>
      <c r="G32" s="60" t="s">
        <v>40</v>
      </c>
      <c r="H32" s="48"/>
      <c r="I32" s="48"/>
      <c r="J32" s="80">
        <f>I32</f>
        <v>0</v>
      </c>
      <c r="K32" s="80">
        <f t="shared" si="0"/>
        <v>0</v>
      </c>
      <c r="L32" s="171">
        <f>SUM(H32:K32)</f>
        <v>0</v>
      </c>
      <c r="M32" s="267"/>
    </row>
    <row r="33" spans="1:13" ht="69" customHeight="1">
      <c r="A33" s="275">
        <v>5</v>
      </c>
      <c r="B33" s="219"/>
      <c r="C33" s="221"/>
      <c r="D33" s="224"/>
      <c r="E33" s="224"/>
      <c r="F33" s="224"/>
      <c r="G33" s="60" t="s">
        <v>37</v>
      </c>
      <c r="H33" s="48">
        <v>0</v>
      </c>
      <c r="I33" s="48">
        <v>70</v>
      </c>
      <c r="J33" s="80">
        <v>129</v>
      </c>
      <c r="K33" s="80">
        <v>134.067</v>
      </c>
      <c r="L33" s="171">
        <f>SUM(H33:K33)</f>
        <v>333.067</v>
      </c>
      <c r="M33" s="267"/>
    </row>
    <row r="34" spans="1:13" ht="15.75" customHeight="1" hidden="1">
      <c r="A34" s="274"/>
      <c r="B34" s="219"/>
      <c r="C34" s="221"/>
      <c r="D34" s="224"/>
      <c r="E34" s="224"/>
      <c r="F34" s="224"/>
      <c r="G34" s="60" t="s">
        <v>41</v>
      </c>
      <c r="H34" s="48"/>
      <c r="I34" s="48"/>
      <c r="J34" s="80">
        <f>I34</f>
        <v>0</v>
      </c>
      <c r="K34" s="80">
        <f t="shared" si="0"/>
        <v>0</v>
      </c>
      <c r="L34" s="171">
        <f aca="true" t="shared" si="2" ref="L34:L44">SUM(H34:K34)</f>
        <v>0</v>
      </c>
      <c r="M34" s="267"/>
    </row>
    <row r="35" spans="1:15" ht="24" customHeight="1" thickBot="1">
      <c r="A35" s="274"/>
      <c r="B35" s="219"/>
      <c r="C35" s="284" t="s">
        <v>88</v>
      </c>
      <c r="D35" s="285"/>
      <c r="E35" s="285"/>
      <c r="F35" s="285"/>
      <c r="G35" s="286"/>
      <c r="H35" s="175">
        <f>SUM(H31:H34)</f>
        <v>0</v>
      </c>
      <c r="I35" s="175">
        <f>I33</f>
        <v>70</v>
      </c>
      <c r="J35" s="195">
        <f>J33</f>
        <v>129</v>
      </c>
      <c r="K35" s="195">
        <f>K33</f>
        <v>134.067</v>
      </c>
      <c r="L35" s="176">
        <f t="shared" si="2"/>
        <v>333.067</v>
      </c>
      <c r="M35" s="289"/>
      <c r="O35" s="183"/>
    </row>
    <row r="36" spans="1:13" ht="31.5" customHeight="1">
      <c r="A36" s="265">
        <v>6</v>
      </c>
      <c r="B36" s="272" t="s">
        <v>175</v>
      </c>
      <c r="C36" s="163" t="s">
        <v>157</v>
      </c>
      <c r="D36" s="164" t="s">
        <v>37</v>
      </c>
      <c r="E36" s="164" t="s">
        <v>170</v>
      </c>
      <c r="F36" s="165" t="s">
        <v>176</v>
      </c>
      <c r="G36" s="164" t="s">
        <v>37</v>
      </c>
      <c r="H36" s="166">
        <v>500</v>
      </c>
      <c r="I36" s="166">
        <v>500</v>
      </c>
      <c r="J36" s="166">
        <v>500</v>
      </c>
      <c r="K36" s="166">
        <v>500</v>
      </c>
      <c r="L36" s="170">
        <f>I36+J36+K36</f>
        <v>1500</v>
      </c>
      <c r="M36" s="282" t="s">
        <v>177</v>
      </c>
    </row>
    <row r="37" spans="1:15" ht="56.25" customHeight="1" thickBot="1">
      <c r="A37" s="266"/>
      <c r="B37" s="273"/>
      <c r="C37" s="269" t="s">
        <v>90</v>
      </c>
      <c r="D37" s="270"/>
      <c r="E37" s="270"/>
      <c r="F37" s="270"/>
      <c r="G37" s="271"/>
      <c r="H37" s="168">
        <f>SUM(H36:H36)</f>
        <v>500</v>
      </c>
      <c r="I37" s="168">
        <f>SUM(I36:I36)</f>
        <v>500</v>
      </c>
      <c r="J37" s="168">
        <f>J36</f>
        <v>500</v>
      </c>
      <c r="K37" s="168">
        <f>K36</f>
        <v>500</v>
      </c>
      <c r="L37" s="172">
        <f>I37+J37+K37</f>
        <v>1500</v>
      </c>
      <c r="M37" s="268"/>
      <c r="O37" s="183"/>
    </row>
    <row r="38" spans="1:13" ht="15.75">
      <c r="A38" s="265">
        <v>7</v>
      </c>
      <c r="B38" s="272" t="s">
        <v>178</v>
      </c>
      <c r="C38" s="163"/>
      <c r="D38" s="164"/>
      <c r="E38" s="164" t="s">
        <v>38</v>
      </c>
      <c r="F38" s="164" t="s">
        <v>179</v>
      </c>
      <c r="G38" s="164" t="s">
        <v>37</v>
      </c>
      <c r="H38" s="166">
        <v>11.3</v>
      </c>
      <c r="I38" s="166">
        <v>1000</v>
      </c>
      <c r="J38" s="167">
        <v>0</v>
      </c>
      <c r="K38" s="167">
        <f>J38</f>
        <v>0</v>
      </c>
      <c r="L38" s="170">
        <f>I38+J38+K38</f>
        <v>1000</v>
      </c>
      <c r="M38" s="267"/>
    </row>
    <row r="39" spans="1:15" ht="50.25" customHeight="1" thickBot="1">
      <c r="A39" s="266"/>
      <c r="B39" s="273"/>
      <c r="C39" s="269" t="s">
        <v>180</v>
      </c>
      <c r="D39" s="270"/>
      <c r="E39" s="270"/>
      <c r="F39" s="270"/>
      <c r="G39" s="271"/>
      <c r="H39" s="168">
        <f>H38</f>
        <v>11.3</v>
      </c>
      <c r="I39" s="168">
        <f>I38</f>
        <v>1000</v>
      </c>
      <c r="J39" s="168">
        <f>J38</f>
        <v>0</v>
      </c>
      <c r="K39" s="168">
        <f>K38</f>
        <v>0</v>
      </c>
      <c r="L39" s="172">
        <f>I39+J39+K39</f>
        <v>1000</v>
      </c>
      <c r="M39" s="268"/>
      <c r="O39" s="183"/>
    </row>
    <row r="40" spans="1:15" s="38" customFormat="1" ht="31.5">
      <c r="A40" s="118">
        <v>8</v>
      </c>
      <c r="B40" s="122" t="s">
        <v>269</v>
      </c>
      <c r="C40" s="177" t="s">
        <v>28</v>
      </c>
      <c r="D40" s="178" t="s">
        <v>28</v>
      </c>
      <c r="E40" s="178" t="s">
        <v>28</v>
      </c>
      <c r="F40" s="178" t="s">
        <v>28</v>
      </c>
      <c r="G40" s="178" t="s">
        <v>28</v>
      </c>
      <c r="H40" s="179">
        <f>H49</f>
        <v>350</v>
      </c>
      <c r="I40" s="179">
        <f>I49</f>
        <v>300</v>
      </c>
      <c r="J40" s="179">
        <f>J49</f>
        <v>332.7</v>
      </c>
      <c r="K40" s="179">
        <f>K49</f>
        <v>332.7</v>
      </c>
      <c r="L40" s="179">
        <f>I40+J40+K40</f>
        <v>965.4000000000001</v>
      </c>
      <c r="M40" s="58" t="s">
        <v>28</v>
      </c>
      <c r="O40" s="184"/>
    </row>
    <row r="41" spans="1:13" ht="31.5" customHeight="1" hidden="1">
      <c r="A41" s="199">
        <v>9</v>
      </c>
      <c r="B41" s="197" t="s">
        <v>181</v>
      </c>
      <c r="C41" s="221" t="s">
        <v>157</v>
      </c>
      <c r="D41" s="224" t="s">
        <v>37</v>
      </c>
      <c r="E41" s="60" t="s">
        <v>166</v>
      </c>
      <c r="F41" s="53" t="s">
        <v>182</v>
      </c>
      <c r="G41" s="60" t="s">
        <v>183</v>
      </c>
      <c r="H41" s="48">
        <v>0</v>
      </c>
      <c r="I41" s="48">
        <v>0</v>
      </c>
      <c r="J41" s="80">
        <f>I41</f>
        <v>0</v>
      </c>
      <c r="K41" s="80">
        <f t="shared" si="0"/>
        <v>0</v>
      </c>
      <c r="L41" s="48">
        <f t="shared" si="2"/>
        <v>0</v>
      </c>
      <c r="M41" s="221" t="s">
        <v>184</v>
      </c>
    </row>
    <row r="42" spans="1:13" ht="30.75" customHeight="1" hidden="1">
      <c r="A42" s="207"/>
      <c r="B42" s="219"/>
      <c r="C42" s="221"/>
      <c r="D42" s="224"/>
      <c r="E42" s="60" t="s">
        <v>38</v>
      </c>
      <c r="F42" s="53" t="s">
        <v>182</v>
      </c>
      <c r="G42" s="60" t="s">
        <v>183</v>
      </c>
      <c r="H42" s="48">
        <v>0</v>
      </c>
      <c r="I42" s="48">
        <v>0</v>
      </c>
      <c r="J42" s="80">
        <f>I42</f>
        <v>0</v>
      </c>
      <c r="K42" s="80">
        <f t="shared" si="0"/>
        <v>0</v>
      </c>
      <c r="L42" s="48">
        <f t="shared" si="2"/>
        <v>0</v>
      </c>
      <c r="M42" s="221"/>
    </row>
    <row r="43" spans="1:13" ht="15.75" customHeight="1" hidden="1">
      <c r="A43" s="200"/>
      <c r="B43" s="219"/>
      <c r="C43" s="276" t="s">
        <v>42</v>
      </c>
      <c r="D43" s="276"/>
      <c r="E43" s="276"/>
      <c r="F43" s="276"/>
      <c r="G43" s="276"/>
      <c r="H43" s="48">
        <f>SUM(H41:H42)</f>
        <v>0</v>
      </c>
      <c r="I43" s="48">
        <f>SUM(I41:I42)</f>
        <v>0</v>
      </c>
      <c r="J43" s="80">
        <f>I43</f>
        <v>0</v>
      </c>
      <c r="K43" s="80">
        <f t="shared" si="0"/>
        <v>0</v>
      </c>
      <c r="L43" s="48">
        <f t="shared" si="2"/>
        <v>0</v>
      </c>
      <c r="M43" s="221"/>
    </row>
    <row r="44" spans="1:15" s="46" customFormat="1" ht="22.5" customHeight="1">
      <c r="A44" s="119"/>
      <c r="B44" s="116"/>
      <c r="C44" s="120"/>
      <c r="D44" s="120"/>
      <c r="E44" s="60" t="s">
        <v>38</v>
      </c>
      <c r="F44" s="53" t="s">
        <v>185</v>
      </c>
      <c r="G44" s="60" t="s">
        <v>61</v>
      </c>
      <c r="H44" s="48">
        <v>0</v>
      </c>
      <c r="I44" s="48">
        <v>0</v>
      </c>
      <c r="J44" s="80">
        <f>I44</f>
        <v>0</v>
      </c>
      <c r="K44" s="80">
        <f>J44</f>
        <v>0</v>
      </c>
      <c r="L44" s="48">
        <f t="shared" si="2"/>
        <v>0</v>
      </c>
      <c r="M44" s="41"/>
      <c r="O44" s="193"/>
    </row>
    <row r="45" spans="1:13" s="46" customFormat="1" ht="21.75" customHeight="1">
      <c r="A45" s="199">
        <v>9</v>
      </c>
      <c r="B45" s="277" t="s">
        <v>186</v>
      </c>
      <c r="C45" s="221" t="s">
        <v>157</v>
      </c>
      <c r="D45" s="224" t="s">
        <v>37</v>
      </c>
      <c r="E45" s="60" t="s">
        <v>38</v>
      </c>
      <c r="F45" s="53" t="s">
        <v>185</v>
      </c>
      <c r="G45" s="60" t="s">
        <v>183</v>
      </c>
      <c r="H45" s="144">
        <v>50</v>
      </c>
      <c r="I45" s="48">
        <f>50+50</f>
        <v>100</v>
      </c>
      <c r="J45" s="80">
        <v>0</v>
      </c>
      <c r="K45" s="80">
        <v>0</v>
      </c>
      <c r="L45" s="48">
        <f aca="true" t="shared" si="3" ref="L45:L54">SUM(I45:K45)</f>
        <v>100</v>
      </c>
      <c r="M45" s="221" t="s">
        <v>187</v>
      </c>
    </row>
    <row r="46" spans="1:13" s="46" customFormat="1" ht="21" customHeight="1">
      <c r="A46" s="207"/>
      <c r="B46" s="277"/>
      <c r="C46" s="221"/>
      <c r="D46" s="224"/>
      <c r="E46" s="60" t="s">
        <v>38</v>
      </c>
      <c r="F46" s="53" t="s">
        <v>185</v>
      </c>
      <c r="G46" s="60" t="s">
        <v>37</v>
      </c>
      <c r="H46" s="144">
        <v>100</v>
      </c>
      <c r="I46" s="48">
        <v>100</v>
      </c>
      <c r="J46" s="80">
        <v>0</v>
      </c>
      <c r="K46" s="80">
        <v>0</v>
      </c>
      <c r="L46" s="48">
        <f t="shared" si="3"/>
        <v>100</v>
      </c>
      <c r="M46" s="221"/>
    </row>
    <row r="47" spans="1:13" s="46" customFormat="1" ht="21" customHeight="1">
      <c r="A47" s="207"/>
      <c r="B47" s="277"/>
      <c r="C47" s="221"/>
      <c r="D47" s="224"/>
      <c r="E47" s="60" t="s">
        <v>38</v>
      </c>
      <c r="F47" s="53" t="s">
        <v>185</v>
      </c>
      <c r="G47" s="60" t="s">
        <v>37</v>
      </c>
      <c r="H47" s="144">
        <v>100</v>
      </c>
      <c r="I47" s="48">
        <v>100</v>
      </c>
      <c r="J47" s="48">
        <v>0</v>
      </c>
      <c r="K47" s="48">
        <v>0</v>
      </c>
      <c r="L47" s="48">
        <f>I47+J47+K47</f>
        <v>100</v>
      </c>
      <c r="M47" s="221"/>
    </row>
    <row r="48" spans="1:13" s="46" customFormat="1" ht="19.5" customHeight="1">
      <c r="A48" s="207"/>
      <c r="B48" s="277"/>
      <c r="C48" s="221"/>
      <c r="D48" s="224"/>
      <c r="E48" s="60" t="s">
        <v>38</v>
      </c>
      <c r="F48" s="53" t="s">
        <v>299</v>
      </c>
      <c r="G48" s="60" t="s">
        <v>37</v>
      </c>
      <c r="H48" s="144">
        <v>100</v>
      </c>
      <c r="I48" s="48">
        <v>0</v>
      </c>
      <c r="J48" s="48">
        <v>332.7</v>
      </c>
      <c r="K48" s="48">
        <v>332.7</v>
      </c>
      <c r="L48" s="48">
        <f>I48+J48+K48</f>
        <v>665.4</v>
      </c>
      <c r="M48" s="221"/>
    </row>
    <row r="49" spans="1:13" s="46" customFormat="1" ht="19.5" customHeight="1">
      <c r="A49" s="200"/>
      <c r="B49" s="277"/>
      <c r="C49" s="281" t="s">
        <v>42</v>
      </c>
      <c r="D49" s="281"/>
      <c r="E49" s="281"/>
      <c r="F49" s="281"/>
      <c r="G49" s="281"/>
      <c r="H49" s="144">
        <f>SUM(H45:H48)</f>
        <v>350</v>
      </c>
      <c r="I49" s="48">
        <f>I45+I46+I48+I47</f>
        <v>300</v>
      </c>
      <c r="J49" s="48">
        <f>J45+J46+J48+J47</f>
        <v>332.7</v>
      </c>
      <c r="K49" s="48">
        <f>K45+K46+K48+K47</f>
        <v>332.7</v>
      </c>
      <c r="L49" s="48">
        <f>I49+J49+K49</f>
        <v>965.4000000000001</v>
      </c>
      <c r="M49" s="221"/>
    </row>
    <row r="50" spans="1:13" ht="24" customHeight="1" hidden="1">
      <c r="A50" s="199">
        <v>11</v>
      </c>
      <c r="B50" s="197" t="s">
        <v>188</v>
      </c>
      <c r="C50" s="215" t="s">
        <v>157</v>
      </c>
      <c r="D50" s="209" t="s">
        <v>37</v>
      </c>
      <c r="E50" s="60" t="s">
        <v>166</v>
      </c>
      <c r="F50" s="218" t="s">
        <v>189</v>
      </c>
      <c r="G50" s="209" t="s">
        <v>183</v>
      </c>
      <c r="H50" s="48">
        <v>0</v>
      </c>
      <c r="I50" s="48">
        <v>0</v>
      </c>
      <c r="J50" s="80">
        <f aca="true" t="shared" si="4" ref="J50:J67">I50</f>
        <v>0</v>
      </c>
      <c r="K50" s="80">
        <f t="shared" si="0"/>
        <v>0</v>
      </c>
      <c r="L50" s="48">
        <f t="shared" si="3"/>
        <v>0</v>
      </c>
      <c r="M50" s="221" t="s">
        <v>190</v>
      </c>
    </row>
    <row r="51" spans="1:13" ht="24" customHeight="1" hidden="1">
      <c r="A51" s="207"/>
      <c r="B51" s="219"/>
      <c r="C51" s="217"/>
      <c r="D51" s="210"/>
      <c r="E51" s="60" t="s">
        <v>38</v>
      </c>
      <c r="F51" s="227"/>
      <c r="G51" s="210"/>
      <c r="H51" s="48">
        <v>0</v>
      </c>
      <c r="I51" s="48">
        <v>0</v>
      </c>
      <c r="J51" s="80">
        <f t="shared" si="4"/>
        <v>0</v>
      </c>
      <c r="K51" s="80">
        <f t="shared" si="0"/>
        <v>0</v>
      </c>
      <c r="L51" s="48">
        <f t="shared" si="3"/>
        <v>0</v>
      </c>
      <c r="M51" s="221"/>
    </row>
    <row r="52" spans="1:13" ht="24" customHeight="1" hidden="1">
      <c r="A52" s="200"/>
      <c r="B52" s="219"/>
      <c r="C52" s="276" t="s">
        <v>47</v>
      </c>
      <c r="D52" s="276"/>
      <c r="E52" s="276"/>
      <c r="F52" s="276"/>
      <c r="G52" s="276"/>
      <c r="H52" s="48">
        <f>SUM(H50:H51)</f>
        <v>0</v>
      </c>
      <c r="I52" s="48">
        <f>SUM(I50:I51)</f>
        <v>0</v>
      </c>
      <c r="J52" s="80">
        <f t="shared" si="4"/>
        <v>0</v>
      </c>
      <c r="K52" s="80">
        <f t="shared" si="0"/>
        <v>0</v>
      </c>
      <c r="L52" s="48">
        <f t="shared" si="3"/>
        <v>0</v>
      </c>
      <c r="M52" s="221"/>
    </row>
    <row r="53" spans="1:13" ht="15.75" customHeight="1" hidden="1">
      <c r="A53" s="199">
        <v>11</v>
      </c>
      <c r="B53" s="197" t="s">
        <v>188</v>
      </c>
      <c r="C53" s="113" t="s">
        <v>157</v>
      </c>
      <c r="D53" s="115" t="s">
        <v>37</v>
      </c>
      <c r="E53" s="60" t="s">
        <v>38</v>
      </c>
      <c r="F53" s="53" t="s">
        <v>185</v>
      </c>
      <c r="G53" s="60" t="s">
        <v>61</v>
      </c>
      <c r="H53" s="48">
        <v>0</v>
      </c>
      <c r="I53" s="48">
        <v>0</v>
      </c>
      <c r="J53" s="80">
        <f t="shared" si="4"/>
        <v>0</v>
      </c>
      <c r="K53" s="80">
        <f t="shared" si="0"/>
        <v>0</v>
      </c>
      <c r="L53" s="48">
        <f t="shared" si="3"/>
        <v>0</v>
      </c>
      <c r="M53" s="221"/>
    </row>
    <row r="54" spans="1:13" ht="15.75" customHeight="1" hidden="1">
      <c r="A54" s="200"/>
      <c r="B54" s="219"/>
      <c r="C54" s="276" t="s">
        <v>47</v>
      </c>
      <c r="D54" s="276"/>
      <c r="E54" s="276"/>
      <c r="F54" s="276"/>
      <c r="G54" s="276"/>
      <c r="H54" s="48">
        <f>SUM(H53:H53)</f>
        <v>0</v>
      </c>
      <c r="I54" s="48">
        <f>SUM(I53:I53)</f>
        <v>0</v>
      </c>
      <c r="J54" s="80">
        <f t="shared" si="4"/>
        <v>0</v>
      </c>
      <c r="K54" s="80">
        <f t="shared" si="0"/>
        <v>0</v>
      </c>
      <c r="L54" s="48">
        <f t="shared" si="3"/>
        <v>0</v>
      </c>
      <c r="M54" s="221"/>
    </row>
    <row r="55" spans="1:15" s="38" customFormat="1" ht="63">
      <c r="A55" s="75">
        <v>10</v>
      </c>
      <c r="B55" s="59" t="s">
        <v>270</v>
      </c>
      <c r="C55" s="56" t="s">
        <v>28</v>
      </c>
      <c r="D55" s="57" t="s">
        <v>28</v>
      </c>
      <c r="E55" s="57" t="s">
        <v>28</v>
      </c>
      <c r="F55" s="57" t="s">
        <v>28</v>
      </c>
      <c r="G55" s="57" t="s">
        <v>28</v>
      </c>
      <c r="H55" s="84">
        <f>H72</f>
        <v>50</v>
      </c>
      <c r="I55" s="84">
        <f>I72</f>
        <v>50</v>
      </c>
      <c r="J55" s="82">
        <f t="shared" si="4"/>
        <v>50</v>
      </c>
      <c r="K55" s="82">
        <f t="shared" si="0"/>
        <v>50</v>
      </c>
      <c r="L55" s="84">
        <f>L72</f>
        <v>150</v>
      </c>
      <c r="M55" s="58" t="s">
        <v>28</v>
      </c>
      <c r="O55" s="184"/>
    </row>
    <row r="56" spans="1:13" ht="34.5" customHeight="1" hidden="1">
      <c r="A56" s="199">
        <v>11</v>
      </c>
      <c r="B56" s="197" t="s">
        <v>191</v>
      </c>
      <c r="C56" s="215" t="s">
        <v>157</v>
      </c>
      <c r="D56" s="209" t="s">
        <v>37</v>
      </c>
      <c r="E56" s="209" t="s">
        <v>38</v>
      </c>
      <c r="F56" s="218" t="s">
        <v>192</v>
      </c>
      <c r="G56" s="60" t="s">
        <v>37</v>
      </c>
      <c r="H56" s="48">
        <v>0</v>
      </c>
      <c r="I56" s="48">
        <v>0</v>
      </c>
      <c r="J56" s="80">
        <f t="shared" si="4"/>
        <v>0</v>
      </c>
      <c r="K56" s="80">
        <f t="shared" si="0"/>
        <v>0</v>
      </c>
      <c r="L56" s="48">
        <f aca="true" t="shared" si="5" ref="L56:L69">SUM(I56:K56)</f>
        <v>0</v>
      </c>
      <c r="M56" s="215" t="s">
        <v>193</v>
      </c>
    </row>
    <row r="57" spans="1:13" ht="45" customHeight="1" hidden="1">
      <c r="A57" s="207"/>
      <c r="B57" s="219"/>
      <c r="C57" s="217"/>
      <c r="D57" s="210"/>
      <c r="E57" s="210"/>
      <c r="F57" s="210"/>
      <c r="G57" s="60" t="s">
        <v>61</v>
      </c>
      <c r="H57" s="48">
        <v>0</v>
      </c>
      <c r="I57" s="48">
        <v>0</v>
      </c>
      <c r="J57" s="80">
        <f t="shared" si="4"/>
        <v>0</v>
      </c>
      <c r="K57" s="80">
        <f t="shared" si="0"/>
        <v>0</v>
      </c>
      <c r="L57" s="48">
        <f t="shared" si="5"/>
        <v>0</v>
      </c>
      <c r="M57" s="216"/>
    </row>
    <row r="58" spans="1:13" ht="15.75" customHeight="1" hidden="1">
      <c r="A58" s="200"/>
      <c r="B58" s="198"/>
      <c r="C58" s="211" t="s">
        <v>43</v>
      </c>
      <c r="D58" s="212"/>
      <c r="E58" s="212"/>
      <c r="F58" s="212"/>
      <c r="G58" s="213"/>
      <c r="H58" s="48">
        <f>SUM(H56:H57)</f>
        <v>0</v>
      </c>
      <c r="I58" s="48">
        <f>SUM(I56:I57)</f>
        <v>0</v>
      </c>
      <c r="J58" s="80">
        <f t="shared" si="4"/>
        <v>0</v>
      </c>
      <c r="K58" s="80">
        <f t="shared" si="0"/>
        <v>0</v>
      </c>
      <c r="L58" s="48">
        <f t="shared" si="5"/>
        <v>0</v>
      </c>
      <c r="M58" s="216"/>
    </row>
    <row r="59" spans="1:13" ht="34.5" customHeight="1" hidden="1">
      <c r="A59" s="199">
        <v>12</v>
      </c>
      <c r="B59" s="197" t="s">
        <v>194</v>
      </c>
      <c r="C59" s="215" t="s">
        <v>157</v>
      </c>
      <c r="D59" s="60" t="s">
        <v>37</v>
      </c>
      <c r="E59" s="60" t="s">
        <v>38</v>
      </c>
      <c r="F59" s="53" t="s">
        <v>195</v>
      </c>
      <c r="G59" s="60" t="s">
        <v>37</v>
      </c>
      <c r="H59" s="48">
        <v>0</v>
      </c>
      <c r="I59" s="48">
        <v>0</v>
      </c>
      <c r="J59" s="80">
        <f t="shared" si="4"/>
        <v>0</v>
      </c>
      <c r="K59" s="80">
        <f t="shared" si="0"/>
        <v>0</v>
      </c>
      <c r="L59" s="48">
        <f t="shared" si="5"/>
        <v>0</v>
      </c>
      <c r="M59" s="216"/>
    </row>
    <row r="60" spans="1:13" ht="31.5" customHeight="1" hidden="1">
      <c r="A60" s="207"/>
      <c r="B60" s="219"/>
      <c r="C60" s="216"/>
      <c r="D60" s="60" t="s">
        <v>37</v>
      </c>
      <c r="E60" s="60" t="s">
        <v>38</v>
      </c>
      <c r="F60" s="53" t="s">
        <v>195</v>
      </c>
      <c r="G60" s="60" t="s">
        <v>61</v>
      </c>
      <c r="H60" s="48">
        <v>0</v>
      </c>
      <c r="I60" s="48">
        <v>0</v>
      </c>
      <c r="J60" s="80">
        <f t="shared" si="4"/>
        <v>0</v>
      </c>
      <c r="K60" s="80">
        <f t="shared" si="0"/>
        <v>0</v>
      </c>
      <c r="L60" s="48">
        <f t="shared" si="5"/>
        <v>0</v>
      </c>
      <c r="M60" s="216"/>
    </row>
    <row r="61" spans="1:13" ht="30.75" customHeight="1" hidden="1">
      <c r="A61" s="207"/>
      <c r="B61" s="219"/>
      <c r="C61" s="216"/>
      <c r="D61" s="209" t="s">
        <v>37</v>
      </c>
      <c r="E61" s="209" t="s">
        <v>38</v>
      </c>
      <c r="F61" s="53" t="s">
        <v>196</v>
      </c>
      <c r="G61" s="60" t="s">
        <v>61</v>
      </c>
      <c r="H61" s="48">
        <v>0</v>
      </c>
      <c r="I61" s="48">
        <v>0</v>
      </c>
      <c r="J61" s="80">
        <f t="shared" si="4"/>
        <v>0</v>
      </c>
      <c r="K61" s="80">
        <f t="shared" si="0"/>
        <v>0</v>
      </c>
      <c r="L61" s="48">
        <f t="shared" si="5"/>
        <v>0</v>
      </c>
      <c r="M61" s="216"/>
    </row>
    <row r="62" spans="1:13" ht="24" customHeight="1" hidden="1">
      <c r="A62" s="207"/>
      <c r="B62" s="219"/>
      <c r="C62" s="217"/>
      <c r="D62" s="210"/>
      <c r="E62" s="210"/>
      <c r="F62" s="53" t="s">
        <v>197</v>
      </c>
      <c r="G62" s="60" t="s">
        <v>61</v>
      </c>
      <c r="H62" s="48">
        <v>0</v>
      </c>
      <c r="I62" s="48">
        <v>0</v>
      </c>
      <c r="J62" s="80">
        <f t="shared" si="4"/>
        <v>0</v>
      </c>
      <c r="K62" s="80">
        <f t="shared" si="0"/>
        <v>0</v>
      </c>
      <c r="L62" s="48">
        <f t="shared" si="5"/>
        <v>0</v>
      </c>
      <c r="M62" s="216"/>
    </row>
    <row r="63" spans="1:13" ht="15.75" customHeight="1" hidden="1">
      <c r="A63" s="200"/>
      <c r="B63" s="198"/>
      <c r="C63" s="211" t="s">
        <v>48</v>
      </c>
      <c r="D63" s="212"/>
      <c r="E63" s="212"/>
      <c r="F63" s="212"/>
      <c r="G63" s="213"/>
      <c r="H63" s="48">
        <f>SUM(H59:H60)</f>
        <v>0</v>
      </c>
      <c r="I63" s="48">
        <f>SUM(I59:I60)</f>
        <v>0</v>
      </c>
      <c r="J63" s="80">
        <f t="shared" si="4"/>
        <v>0</v>
      </c>
      <c r="K63" s="80">
        <f t="shared" si="0"/>
        <v>0</v>
      </c>
      <c r="L63" s="48">
        <f t="shared" si="5"/>
        <v>0</v>
      </c>
      <c r="M63" s="217"/>
    </row>
    <row r="64" spans="1:13" ht="55.5" customHeight="1" hidden="1">
      <c r="A64" s="199">
        <v>13</v>
      </c>
      <c r="B64" s="197" t="s">
        <v>198</v>
      </c>
      <c r="C64" s="41" t="s">
        <v>157</v>
      </c>
      <c r="D64" s="60" t="s">
        <v>37</v>
      </c>
      <c r="E64" s="60" t="s">
        <v>38</v>
      </c>
      <c r="F64" s="53" t="s">
        <v>199</v>
      </c>
      <c r="G64" s="60" t="s">
        <v>37</v>
      </c>
      <c r="H64" s="48">
        <v>0</v>
      </c>
      <c r="I64" s="48">
        <v>0</v>
      </c>
      <c r="J64" s="80">
        <f t="shared" si="4"/>
        <v>0</v>
      </c>
      <c r="K64" s="80">
        <f t="shared" si="0"/>
        <v>0</v>
      </c>
      <c r="L64" s="48">
        <f t="shared" si="5"/>
        <v>0</v>
      </c>
      <c r="M64" s="215" t="s">
        <v>200</v>
      </c>
    </row>
    <row r="65" spans="1:13" ht="15.75" customHeight="1" hidden="1">
      <c r="A65" s="200"/>
      <c r="B65" s="198"/>
      <c r="C65" s="211" t="s">
        <v>49</v>
      </c>
      <c r="D65" s="212"/>
      <c r="E65" s="212"/>
      <c r="F65" s="212"/>
      <c r="G65" s="213"/>
      <c r="H65" s="48">
        <f>H64</f>
        <v>0</v>
      </c>
      <c r="I65" s="48">
        <f>I64</f>
        <v>0</v>
      </c>
      <c r="J65" s="80">
        <f t="shared" si="4"/>
        <v>0</v>
      </c>
      <c r="K65" s="80">
        <f t="shared" si="0"/>
        <v>0</v>
      </c>
      <c r="L65" s="48">
        <f t="shared" si="5"/>
        <v>0</v>
      </c>
      <c r="M65" s="216"/>
    </row>
    <row r="66" spans="1:13" ht="14.25" customHeight="1" hidden="1">
      <c r="A66" s="199">
        <v>14</v>
      </c>
      <c r="B66" s="197" t="s">
        <v>201</v>
      </c>
      <c r="C66" s="215" t="s">
        <v>157</v>
      </c>
      <c r="D66" s="209" t="s">
        <v>37</v>
      </c>
      <c r="E66" s="209" t="s">
        <v>38</v>
      </c>
      <c r="F66" s="263" t="s">
        <v>202</v>
      </c>
      <c r="G66" s="60" t="s">
        <v>37</v>
      </c>
      <c r="H66" s="48">
        <v>0</v>
      </c>
      <c r="I66" s="48">
        <v>0</v>
      </c>
      <c r="J66" s="80">
        <f t="shared" si="4"/>
        <v>0</v>
      </c>
      <c r="K66" s="80">
        <f t="shared" si="0"/>
        <v>0</v>
      </c>
      <c r="L66" s="48">
        <f t="shared" si="5"/>
        <v>0</v>
      </c>
      <c r="M66" s="216"/>
    </row>
    <row r="67" spans="1:13" ht="18" customHeight="1" hidden="1">
      <c r="A67" s="207"/>
      <c r="B67" s="219"/>
      <c r="C67" s="216"/>
      <c r="D67" s="220"/>
      <c r="E67" s="220"/>
      <c r="F67" s="264"/>
      <c r="G67" s="60" t="s">
        <v>61</v>
      </c>
      <c r="H67" s="48">
        <v>0</v>
      </c>
      <c r="I67" s="48">
        <v>0</v>
      </c>
      <c r="J67" s="80">
        <f t="shared" si="4"/>
        <v>0</v>
      </c>
      <c r="K67" s="80">
        <f t="shared" si="0"/>
        <v>0</v>
      </c>
      <c r="L67" s="48">
        <f t="shared" si="5"/>
        <v>0</v>
      </c>
      <c r="M67" s="216"/>
    </row>
    <row r="68" spans="1:13" ht="31.5" customHeight="1" hidden="1">
      <c r="A68" s="207"/>
      <c r="B68" s="219"/>
      <c r="C68" s="217"/>
      <c r="D68" s="210"/>
      <c r="E68" s="210"/>
      <c r="F68" s="79" t="s">
        <v>203</v>
      </c>
      <c r="G68" s="78" t="s">
        <v>37</v>
      </c>
      <c r="H68" s="48">
        <v>0</v>
      </c>
      <c r="I68" s="48">
        <v>0</v>
      </c>
      <c r="J68" s="80">
        <v>0</v>
      </c>
      <c r="K68" s="80">
        <v>0</v>
      </c>
      <c r="L68" s="48">
        <f t="shared" si="5"/>
        <v>0</v>
      </c>
      <c r="M68" s="216"/>
    </row>
    <row r="69" spans="1:13" ht="15.75" customHeight="1" hidden="1">
      <c r="A69" s="200"/>
      <c r="B69" s="198"/>
      <c r="C69" s="211" t="s">
        <v>89</v>
      </c>
      <c r="D69" s="212"/>
      <c r="E69" s="212"/>
      <c r="F69" s="212"/>
      <c r="G69" s="213"/>
      <c r="H69" s="48">
        <f>H67</f>
        <v>0</v>
      </c>
      <c r="I69" s="48">
        <f>I67</f>
        <v>0</v>
      </c>
      <c r="J69" s="80">
        <f aca="true" t="shared" si="6" ref="J69:J76">I69</f>
        <v>0</v>
      </c>
      <c r="K69" s="80">
        <f t="shared" si="0"/>
        <v>0</v>
      </c>
      <c r="L69" s="48">
        <f t="shared" si="5"/>
        <v>0</v>
      </c>
      <c r="M69" s="217"/>
    </row>
    <row r="70" spans="1:13" ht="47.25" customHeight="1">
      <c r="A70" s="199">
        <v>11</v>
      </c>
      <c r="B70" s="197" t="s">
        <v>204</v>
      </c>
      <c r="C70" s="41" t="s">
        <v>157</v>
      </c>
      <c r="D70" s="60" t="s">
        <v>37</v>
      </c>
      <c r="E70" s="60" t="s">
        <v>276</v>
      </c>
      <c r="F70" s="53" t="s">
        <v>205</v>
      </c>
      <c r="G70" s="60" t="s">
        <v>37</v>
      </c>
      <c r="H70" s="48">
        <v>0</v>
      </c>
      <c r="I70" s="48">
        <v>0</v>
      </c>
      <c r="J70" s="80">
        <v>50</v>
      </c>
      <c r="K70" s="80">
        <v>50</v>
      </c>
      <c r="L70" s="48">
        <f>SUM(H70:K70)</f>
        <v>100</v>
      </c>
      <c r="M70" s="215" t="s">
        <v>206</v>
      </c>
    </row>
    <row r="71" spans="1:13" ht="47.25" customHeight="1">
      <c r="A71" s="207"/>
      <c r="B71" s="219"/>
      <c r="C71" s="41" t="s">
        <v>157</v>
      </c>
      <c r="D71" s="60" t="s">
        <v>37</v>
      </c>
      <c r="E71" s="60" t="s">
        <v>38</v>
      </c>
      <c r="F71" s="53" t="s">
        <v>205</v>
      </c>
      <c r="G71" s="60" t="s">
        <v>37</v>
      </c>
      <c r="H71" s="48">
        <v>50</v>
      </c>
      <c r="I71" s="48">
        <v>50</v>
      </c>
      <c r="J71" s="80">
        <v>0</v>
      </c>
      <c r="K71" s="80">
        <f>J71</f>
        <v>0</v>
      </c>
      <c r="L71" s="48">
        <f>I71+J71+K71</f>
        <v>50</v>
      </c>
      <c r="M71" s="216"/>
    </row>
    <row r="72" spans="1:13" ht="15.75">
      <c r="A72" s="200"/>
      <c r="B72" s="198"/>
      <c r="C72" s="211" t="s">
        <v>43</v>
      </c>
      <c r="D72" s="212"/>
      <c r="E72" s="212"/>
      <c r="F72" s="212"/>
      <c r="G72" s="213"/>
      <c r="H72" s="48">
        <f>SUM(H70:H71)</f>
        <v>50</v>
      </c>
      <c r="I72" s="48">
        <f>SUM(I70:I71)</f>
        <v>50</v>
      </c>
      <c r="J72" s="80">
        <f t="shared" si="6"/>
        <v>50</v>
      </c>
      <c r="K72" s="80">
        <f t="shared" si="0"/>
        <v>50</v>
      </c>
      <c r="L72" s="48">
        <f>SUM(I72:K72)</f>
        <v>150</v>
      </c>
      <c r="M72" s="217"/>
    </row>
    <row r="73" spans="1:15" s="38" customFormat="1" ht="37.5" customHeight="1">
      <c r="A73" s="75">
        <v>12</v>
      </c>
      <c r="B73" s="59" t="s">
        <v>272</v>
      </c>
      <c r="C73" s="56" t="s">
        <v>28</v>
      </c>
      <c r="D73" s="57" t="s">
        <v>28</v>
      </c>
      <c r="E73" s="57" t="s">
        <v>28</v>
      </c>
      <c r="F73" s="57" t="s">
        <v>28</v>
      </c>
      <c r="G73" s="57" t="s">
        <v>28</v>
      </c>
      <c r="H73" s="84">
        <f>H79+H89+H99+H110</f>
        <v>4183.2919999999995</v>
      </c>
      <c r="I73" s="84">
        <f>I79+I89+I99+I110+I103+I107</f>
        <v>8827.630000000001</v>
      </c>
      <c r="J73" s="84">
        <f>J79+J89+J99+J110+J103+J107</f>
        <v>0</v>
      </c>
      <c r="K73" s="84">
        <f>K79+K89+K99+K110</f>
        <v>0</v>
      </c>
      <c r="L73" s="84">
        <f>I73+J73+K73</f>
        <v>8827.630000000001</v>
      </c>
      <c r="M73" s="58" t="s">
        <v>28</v>
      </c>
      <c r="O73" s="184"/>
    </row>
    <row r="74" spans="1:13" ht="40.5" customHeight="1" hidden="1">
      <c r="A74" s="199">
        <v>13</v>
      </c>
      <c r="B74" s="278" t="s">
        <v>207</v>
      </c>
      <c r="C74" s="215" t="s">
        <v>157</v>
      </c>
      <c r="D74" s="224" t="s">
        <v>37</v>
      </c>
      <c r="E74" s="78" t="s">
        <v>38</v>
      </c>
      <c r="F74" s="53" t="s">
        <v>208</v>
      </c>
      <c r="G74" s="60" t="s">
        <v>37</v>
      </c>
      <c r="H74" s="48">
        <v>0</v>
      </c>
      <c r="I74" s="48">
        <v>0</v>
      </c>
      <c r="J74" s="80">
        <f t="shared" si="6"/>
        <v>0</v>
      </c>
      <c r="K74" s="80">
        <f t="shared" si="0"/>
        <v>0</v>
      </c>
      <c r="L74" s="48">
        <f>SUM(I74:K74)</f>
        <v>0</v>
      </c>
      <c r="M74" s="215" t="s">
        <v>209</v>
      </c>
    </row>
    <row r="75" spans="1:13" ht="21.75" customHeight="1">
      <c r="A75" s="207"/>
      <c r="B75" s="279"/>
      <c r="C75" s="216"/>
      <c r="D75" s="224"/>
      <c r="E75" s="224" t="s">
        <v>38</v>
      </c>
      <c r="F75" s="263" t="s">
        <v>210</v>
      </c>
      <c r="G75" s="60" t="s">
        <v>37</v>
      </c>
      <c r="H75" s="48">
        <v>0</v>
      </c>
      <c r="I75" s="48">
        <v>0</v>
      </c>
      <c r="J75" s="80">
        <f t="shared" si="6"/>
        <v>0</v>
      </c>
      <c r="K75" s="80">
        <f t="shared" si="0"/>
        <v>0</v>
      </c>
      <c r="L75" s="48">
        <f>SUM(H75:K75)</f>
        <v>0</v>
      </c>
      <c r="M75" s="216"/>
    </row>
    <row r="76" spans="1:13" ht="19.5" customHeight="1">
      <c r="A76" s="207"/>
      <c r="B76" s="279"/>
      <c r="C76" s="216"/>
      <c r="D76" s="224"/>
      <c r="E76" s="224"/>
      <c r="F76" s="264"/>
      <c r="G76" s="60" t="s">
        <v>61</v>
      </c>
      <c r="H76" s="48">
        <v>0</v>
      </c>
      <c r="I76" s="48">
        <v>0</v>
      </c>
      <c r="J76" s="80">
        <f t="shared" si="6"/>
        <v>0</v>
      </c>
      <c r="K76" s="80">
        <f t="shared" si="0"/>
        <v>0</v>
      </c>
      <c r="L76" s="48">
        <f aca="true" t="shared" si="7" ref="L76:L109">SUM(H76:K76)</f>
        <v>0</v>
      </c>
      <c r="M76" s="216"/>
    </row>
    <row r="77" spans="1:13" ht="21" customHeight="1">
      <c r="A77" s="207"/>
      <c r="B77" s="279"/>
      <c r="C77" s="216"/>
      <c r="D77" s="224"/>
      <c r="E77" s="224"/>
      <c r="F77" s="238" t="s">
        <v>211</v>
      </c>
      <c r="G77" s="78" t="s">
        <v>37</v>
      </c>
      <c r="H77" s="144">
        <v>142.5</v>
      </c>
      <c r="I77" s="48">
        <v>210</v>
      </c>
      <c r="J77" s="80">
        <v>0</v>
      </c>
      <c r="K77" s="80">
        <v>0</v>
      </c>
      <c r="L77" s="48">
        <f>I77+J77+K77</f>
        <v>210</v>
      </c>
      <c r="M77" s="216"/>
    </row>
    <row r="78" spans="1:13" ht="20.25" customHeight="1">
      <c r="A78" s="207"/>
      <c r="B78" s="279"/>
      <c r="C78" s="217"/>
      <c r="D78" s="224"/>
      <c r="E78" s="224"/>
      <c r="F78" s="238"/>
      <c r="G78" s="78" t="s">
        <v>37</v>
      </c>
      <c r="H78" s="144">
        <v>47.5</v>
      </c>
      <c r="I78" s="48">
        <v>70</v>
      </c>
      <c r="J78" s="80">
        <v>0</v>
      </c>
      <c r="K78" s="80">
        <v>0</v>
      </c>
      <c r="L78" s="48">
        <f>I78+J78+K78</f>
        <v>70</v>
      </c>
      <c r="M78" s="216"/>
    </row>
    <row r="79" spans="1:15" ht="26.25" customHeight="1">
      <c r="A79" s="200"/>
      <c r="B79" s="280"/>
      <c r="C79" s="211" t="s">
        <v>212</v>
      </c>
      <c r="D79" s="212"/>
      <c r="E79" s="212"/>
      <c r="F79" s="212"/>
      <c r="G79" s="213"/>
      <c r="H79" s="48">
        <f>H77+H78</f>
        <v>190</v>
      </c>
      <c r="I79" s="48">
        <f>SUM(I74:I78)</f>
        <v>280</v>
      </c>
      <c r="J79" s="80">
        <v>0</v>
      </c>
      <c r="K79" s="80">
        <v>0</v>
      </c>
      <c r="L79" s="48">
        <f t="shared" si="7"/>
        <v>470</v>
      </c>
      <c r="M79" s="217"/>
      <c r="O79" s="183"/>
    </row>
    <row r="80" spans="1:13" ht="87" customHeight="1" hidden="1">
      <c r="A80" s="75">
        <v>19</v>
      </c>
      <c r="B80" s="197" t="s">
        <v>213</v>
      </c>
      <c r="C80" s="41" t="s">
        <v>36</v>
      </c>
      <c r="D80" s="60" t="s">
        <v>37</v>
      </c>
      <c r="E80" s="60" t="s">
        <v>60</v>
      </c>
      <c r="F80" s="60"/>
      <c r="G80" s="60"/>
      <c r="H80" s="48"/>
      <c r="I80" s="48"/>
      <c r="J80" s="80">
        <f aca="true" t="shared" si="8" ref="J80:J98">I80</f>
        <v>0</v>
      </c>
      <c r="K80" s="80">
        <f t="shared" si="0"/>
        <v>0</v>
      </c>
      <c r="L80" s="48">
        <f t="shared" si="7"/>
        <v>0</v>
      </c>
      <c r="M80" s="215"/>
    </row>
    <row r="81" spans="1:13" ht="15.75" customHeight="1" hidden="1">
      <c r="A81" s="75">
        <v>20</v>
      </c>
      <c r="B81" s="198"/>
      <c r="C81" s="211" t="s">
        <v>214</v>
      </c>
      <c r="D81" s="212"/>
      <c r="E81" s="212"/>
      <c r="F81" s="212"/>
      <c r="G81" s="213"/>
      <c r="H81" s="48"/>
      <c r="I81" s="48"/>
      <c r="J81" s="80">
        <f t="shared" si="8"/>
        <v>0</v>
      </c>
      <c r="K81" s="80">
        <f t="shared" si="0"/>
        <v>0</v>
      </c>
      <c r="L81" s="48">
        <f t="shared" si="7"/>
        <v>0</v>
      </c>
      <c r="M81" s="217"/>
    </row>
    <row r="82" spans="1:13" ht="34.5" customHeight="1" hidden="1">
      <c r="A82" s="75">
        <v>21</v>
      </c>
      <c r="B82" s="197" t="s">
        <v>215</v>
      </c>
      <c r="C82" s="41"/>
      <c r="D82" s="60"/>
      <c r="E82" s="60"/>
      <c r="F82" s="60"/>
      <c r="G82" s="60"/>
      <c r="H82" s="48"/>
      <c r="I82" s="48"/>
      <c r="J82" s="80">
        <f t="shared" si="8"/>
        <v>0</v>
      </c>
      <c r="K82" s="80">
        <f t="shared" si="0"/>
        <v>0</v>
      </c>
      <c r="L82" s="48">
        <f t="shared" si="7"/>
        <v>0</v>
      </c>
      <c r="M82" s="215"/>
    </row>
    <row r="83" spans="1:13" ht="15.75" customHeight="1" hidden="1">
      <c r="A83" s="75">
        <v>22</v>
      </c>
      <c r="B83" s="198"/>
      <c r="C83" s="211" t="s">
        <v>216</v>
      </c>
      <c r="D83" s="212"/>
      <c r="E83" s="212"/>
      <c r="F83" s="212"/>
      <c r="G83" s="213"/>
      <c r="H83" s="48"/>
      <c r="I83" s="48"/>
      <c r="J83" s="80">
        <f t="shared" si="8"/>
        <v>0</v>
      </c>
      <c r="K83" s="80">
        <f t="shared" si="0"/>
        <v>0</v>
      </c>
      <c r="L83" s="48">
        <f t="shared" si="7"/>
        <v>0</v>
      </c>
      <c r="M83" s="217"/>
    </row>
    <row r="84" spans="1:13" ht="138.75" customHeight="1" hidden="1">
      <c r="A84" s="75">
        <v>23</v>
      </c>
      <c r="B84" s="121" t="s">
        <v>217</v>
      </c>
      <c r="C84" s="221" t="s">
        <v>62</v>
      </c>
      <c r="D84" s="60" t="s">
        <v>218</v>
      </c>
      <c r="E84" s="60" t="s">
        <v>38</v>
      </c>
      <c r="F84" s="53" t="s">
        <v>219</v>
      </c>
      <c r="G84" s="60" t="s">
        <v>220</v>
      </c>
      <c r="H84" s="48">
        <v>0</v>
      </c>
      <c r="I84" s="48">
        <v>0</v>
      </c>
      <c r="J84" s="80">
        <f t="shared" si="8"/>
        <v>0</v>
      </c>
      <c r="K84" s="80">
        <f t="shared" si="0"/>
        <v>0</v>
      </c>
      <c r="L84" s="48">
        <f t="shared" si="7"/>
        <v>0</v>
      </c>
      <c r="M84" s="221" t="s">
        <v>221</v>
      </c>
    </row>
    <row r="85" spans="1:13" ht="15.75" customHeight="1" hidden="1">
      <c r="A85" s="75"/>
      <c r="B85" s="121" t="s">
        <v>222</v>
      </c>
      <c r="C85" s="221"/>
      <c r="D85" s="114" t="s">
        <v>218</v>
      </c>
      <c r="E85" s="114" t="s">
        <v>38</v>
      </c>
      <c r="F85" s="60" t="s">
        <v>223</v>
      </c>
      <c r="G85" s="60" t="s">
        <v>61</v>
      </c>
      <c r="H85" s="48"/>
      <c r="I85" s="48"/>
      <c r="J85" s="80">
        <f t="shared" si="8"/>
        <v>0</v>
      </c>
      <c r="K85" s="80">
        <f t="shared" si="0"/>
        <v>0</v>
      </c>
      <c r="L85" s="48">
        <f t="shared" si="7"/>
        <v>0</v>
      </c>
      <c r="M85" s="221"/>
    </row>
    <row r="86" spans="1:13" ht="15.75" customHeight="1" hidden="1">
      <c r="A86" s="75">
        <v>24</v>
      </c>
      <c r="B86" s="121"/>
      <c r="C86" s="276" t="s">
        <v>214</v>
      </c>
      <c r="D86" s="276"/>
      <c r="E86" s="276"/>
      <c r="F86" s="276"/>
      <c r="G86" s="276"/>
      <c r="H86" s="48">
        <f>H84</f>
        <v>0</v>
      </c>
      <c r="I86" s="48">
        <f>I84</f>
        <v>0</v>
      </c>
      <c r="J86" s="80">
        <f t="shared" si="8"/>
        <v>0</v>
      </c>
      <c r="K86" s="80">
        <f t="shared" si="0"/>
        <v>0</v>
      </c>
      <c r="L86" s="48">
        <f t="shared" si="7"/>
        <v>0</v>
      </c>
      <c r="M86" s="221"/>
    </row>
    <row r="87" spans="1:13" ht="19.5" customHeight="1">
      <c r="A87" s="199">
        <v>14</v>
      </c>
      <c r="B87" s="197" t="s">
        <v>224</v>
      </c>
      <c r="C87" s="215" t="s">
        <v>36</v>
      </c>
      <c r="D87" s="209" t="s">
        <v>37</v>
      </c>
      <c r="E87" s="209" t="s">
        <v>38</v>
      </c>
      <c r="F87" s="218" t="s">
        <v>225</v>
      </c>
      <c r="G87" s="60" t="s">
        <v>37</v>
      </c>
      <c r="H87" s="48">
        <v>10</v>
      </c>
      <c r="I87" s="48">
        <v>20</v>
      </c>
      <c r="J87" s="80">
        <v>0</v>
      </c>
      <c r="K87" s="80">
        <v>0</v>
      </c>
      <c r="L87" s="48">
        <f>I87+J87+K87</f>
        <v>20</v>
      </c>
      <c r="M87" s="215" t="s">
        <v>226</v>
      </c>
    </row>
    <row r="88" spans="1:13" ht="18.75" customHeight="1">
      <c r="A88" s="207"/>
      <c r="B88" s="219"/>
      <c r="C88" s="217"/>
      <c r="D88" s="210"/>
      <c r="E88" s="210"/>
      <c r="F88" s="210"/>
      <c r="G88" s="60" t="s">
        <v>61</v>
      </c>
      <c r="H88" s="48">
        <v>0</v>
      </c>
      <c r="I88" s="48">
        <v>0</v>
      </c>
      <c r="J88" s="80">
        <f t="shared" si="8"/>
        <v>0</v>
      </c>
      <c r="K88" s="80">
        <f aca="true" t="shared" si="9" ref="K88:K98">J88</f>
        <v>0</v>
      </c>
      <c r="L88" s="48">
        <f t="shared" si="7"/>
        <v>0</v>
      </c>
      <c r="M88" s="216"/>
    </row>
    <row r="89" spans="1:15" ht="21" customHeight="1">
      <c r="A89" s="200"/>
      <c r="B89" s="198"/>
      <c r="C89" s="211" t="s">
        <v>214</v>
      </c>
      <c r="D89" s="212"/>
      <c r="E89" s="212"/>
      <c r="F89" s="212"/>
      <c r="G89" s="213"/>
      <c r="H89" s="48">
        <f>SUM(H87:H88)</f>
        <v>10</v>
      </c>
      <c r="I89" s="48">
        <f>SUM(I87:I88)</f>
        <v>20</v>
      </c>
      <c r="J89" s="80">
        <f>J87+J88</f>
        <v>0</v>
      </c>
      <c r="K89" s="80">
        <f t="shared" si="9"/>
        <v>0</v>
      </c>
      <c r="L89" s="48">
        <f t="shared" si="7"/>
        <v>30</v>
      </c>
      <c r="M89" s="217"/>
      <c r="O89" s="183"/>
    </row>
    <row r="90" spans="1:13" ht="78.75" customHeight="1" hidden="1">
      <c r="A90" s="75"/>
      <c r="B90" s="197" t="s">
        <v>227</v>
      </c>
      <c r="C90" s="41" t="s">
        <v>36</v>
      </c>
      <c r="D90" s="60" t="s">
        <v>37</v>
      </c>
      <c r="E90" s="60" t="s">
        <v>60</v>
      </c>
      <c r="F90" s="60"/>
      <c r="G90" s="60"/>
      <c r="H90" s="48"/>
      <c r="I90" s="48"/>
      <c r="J90" s="80">
        <f t="shared" si="8"/>
        <v>0</v>
      </c>
      <c r="K90" s="80">
        <f t="shared" si="9"/>
        <v>0</v>
      </c>
      <c r="L90" s="48">
        <f t="shared" si="7"/>
        <v>0</v>
      </c>
      <c r="M90" s="215"/>
    </row>
    <row r="91" spans="1:13" ht="15.75" customHeight="1" hidden="1">
      <c r="A91" s="75"/>
      <c r="B91" s="198"/>
      <c r="C91" s="211" t="s">
        <v>228</v>
      </c>
      <c r="D91" s="212"/>
      <c r="E91" s="212"/>
      <c r="F91" s="212"/>
      <c r="G91" s="213"/>
      <c r="H91" s="48"/>
      <c r="I91" s="48"/>
      <c r="J91" s="80">
        <f t="shared" si="8"/>
        <v>0</v>
      </c>
      <c r="K91" s="80">
        <f t="shared" si="9"/>
        <v>0</v>
      </c>
      <c r="L91" s="48">
        <f t="shared" si="7"/>
        <v>0</v>
      </c>
      <c r="M91" s="217"/>
    </row>
    <row r="92" spans="1:13" ht="78.75" customHeight="1" hidden="1">
      <c r="A92" s="75"/>
      <c r="B92" s="197" t="s">
        <v>229</v>
      </c>
      <c r="C92" s="41" t="s">
        <v>36</v>
      </c>
      <c r="D92" s="60" t="s">
        <v>37</v>
      </c>
      <c r="E92" s="60" t="s">
        <v>60</v>
      </c>
      <c r="F92" s="60"/>
      <c r="G92" s="60"/>
      <c r="H92" s="48"/>
      <c r="I92" s="48"/>
      <c r="J92" s="80">
        <f t="shared" si="8"/>
        <v>0</v>
      </c>
      <c r="K92" s="80">
        <f t="shared" si="9"/>
        <v>0</v>
      </c>
      <c r="L92" s="48">
        <f t="shared" si="7"/>
        <v>0</v>
      </c>
      <c r="M92" s="215"/>
    </row>
    <row r="93" spans="1:13" ht="15.75" customHeight="1" hidden="1">
      <c r="A93" s="75"/>
      <c r="B93" s="198"/>
      <c r="C93" s="211" t="s">
        <v>230</v>
      </c>
      <c r="D93" s="212"/>
      <c r="E93" s="212"/>
      <c r="F93" s="212"/>
      <c r="G93" s="213"/>
      <c r="H93" s="48"/>
      <c r="I93" s="48"/>
      <c r="J93" s="80">
        <f t="shared" si="8"/>
        <v>0</v>
      </c>
      <c r="K93" s="80">
        <f t="shared" si="9"/>
        <v>0</v>
      </c>
      <c r="L93" s="48">
        <f t="shared" si="7"/>
        <v>0</v>
      </c>
      <c r="M93" s="217"/>
    </row>
    <row r="94" spans="1:13" ht="78.75" customHeight="1" hidden="1">
      <c r="A94" s="199">
        <v>23</v>
      </c>
      <c r="B94" s="197" t="s">
        <v>231</v>
      </c>
      <c r="C94" s="41" t="s">
        <v>36</v>
      </c>
      <c r="D94" s="60" t="s">
        <v>37</v>
      </c>
      <c r="E94" s="60" t="s">
        <v>38</v>
      </c>
      <c r="F94" s="53" t="s">
        <v>232</v>
      </c>
      <c r="G94" s="60" t="s">
        <v>37</v>
      </c>
      <c r="H94" s="48">
        <v>0</v>
      </c>
      <c r="I94" s="48">
        <v>0</v>
      </c>
      <c r="J94" s="80">
        <f t="shared" si="8"/>
        <v>0</v>
      </c>
      <c r="K94" s="80">
        <f t="shared" si="9"/>
        <v>0</v>
      </c>
      <c r="L94" s="48">
        <f t="shared" si="7"/>
        <v>0</v>
      </c>
      <c r="M94" s="215" t="s">
        <v>233</v>
      </c>
    </row>
    <row r="95" spans="1:13" ht="15.75" customHeight="1" hidden="1">
      <c r="A95" s="200"/>
      <c r="B95" s="198"/>
      <c r="C95" s="211" t="s">
        <v>234</v>
      </c>
      <c r="D95" s="212"/>
      <c r="E95" s="212"/>
      <c r="F95" s="212"/>
      <c r="G95" s="213"/>
      <c r="H95" s="48">
        <f>SUM(H94)</f>
        <v>0</v>
      </c>
      <c r="I95" s="48">
        <f>SUM(I94)</f>
        <v>0</v>
      </c>
      <c r="J95" s="80">
        <f t="shared" si="8"/>
        <v>0</v>
      </c>
      <c r="K95" s="80">
        <f t="shared" si="9"/>
        <v>0</v>
      </c>
      <c r="L95" s="48">
        <f t="shared" si="7"/>
        <v>0</v>
      </c>
      <c r="M95" s="217"/>
    </row>
    <row r="96" spans="1:13" ht="47.25" customHeight="1" hidden="1">
      <c r="A96" s="75"/>
      <c r="B96" s="197" t="s">
        <v>235</v>
      </c>
      <c r="C96" s="41" t="s">
        <v>62</v>
      </c>
      <c r="D96" s="60" t="s">
        <v>218</v>
      </c>
      <c r="E96" s="60" t="s">
        <v>38</v>
      </c>
      <c r="F96" s="60"/>
      <c r="G96" s="60"/>
      <c r="H96" s="48"/>
      <c r="I96" s="48"/>
      <c r="J96" s="82">
        <f t="shared" si="8"/>
        <v>0</v>
      </c>
      <c r="K96" s="82">
        <f t="shared" si="9"/>
        <v>0</v>
      </c>
      <c r="L96" s="48">
        <f t="shared" si="7"/>
        <v>0</v>
      </c>
      <c r="M96" s="215"/>
    </row>
    <row r="97" spans="1:13" ht="15.75" customHeight="1" hidden="1">
      <c r="A97" s="75"/>
      <c r="B97" s="198"/>
      <c r="C97" s="211" t="s">
        <v>236</v>
      </c>
      <c r="D97" s="212"/>
      <c r="E97" s="212"/>
      <c r="F97" s="212"/>
      <c r="G97" s="213"/>
      <c r="H97" s="48"/>
      <c r="I97" s="48"/>
      <c r="J97" s="82">
        <f t="shared" si="8"/>
        <v>0</v>
      </c>
      <c r="K97" s="82">
        <f t="shared" si="9"/>
        <v>0</v>
      </c>
      <c r="L97" s="48">
        <f t="shared" si="7"/>
        <v>0</v>
      </c>
      <c r="M97" s="217"/>
    </row>
    <row r="98" spans="1:13" ht="78.75" customHeight="1">
      <c r="A98" s="117">
        <v>15</v>
      </c>
      <c r="B98" s="197" t="s">
        <v>237</v>
      </c>
      <c r="C98" s="41" t="s">
        <v>36</v>
      </c>
      <c r="D98" s="60" t="s">
        <v>37</v>
      </c>
      <c r="E98" s="60" t="s">
        <v>38</v>
      </c>
      <c r="F98" s="53" t="s">
        <v>238</v>
      </c>
      <c r="G98" s="60" t="s">
        <v>220</v>
      </c>
      <c r="H98" s="48">
        <v>996.823</v>
      </c>
      <c r="I98" s="48">
        <v>0</v>
      </c>
      <c r="J98" s="80">
        <f t="shared" si="8"/>
        <v>0</v>
      </c>
      <c r="K98" s="80">
        <f t="shared" si="9"/>
        <v>0</v>
      </c>
      <c r="L98" s="48">
        <f>I98+J98+K98</f>
        <v>0</v>
      </c>
      <c r="M98" s="215" t="s">
        <v>239</v>
      </c>
    </row>
    <row r="99" spans="1:13" ht="15.75">
      <c r="A99" s="118"/>
      <c r="B99" s="198"/>
      <c r="C99" s="211" t="s">
        <v>216</v>
      </c>
      <c r="D99" s="212"/>
      <c r="E99" s="212"/>
      <c r="F99" s="212"/>
      <c r="G99" s="213"/>
      <c r="H99" s="48">
        <f>H98</f>
        <v>996.823</v>
      </c>
      <c r="I99" s="48">
        <f>SUM(E98:G98)</f>
        <v>0</v>
      </c>
      <c r="J99" s="48">
        <f>J98</f>
        <v>0</v>
      </c>
      <c r="K99" s="48">
        <f>K98</f>
        <v>0</v>
      </c>
      <c r="L99" s="48">
        <f>L98</f>
        <v>0</v>
      </c>
      <c r="M99" s="217"/>
    </row>
    <row r="100" spans="1:13" ht="15.75" customHeight="1">
      <c r="A100" s="199">
        <f>A98+1</f>
        <v>16</v>
      </c>
      <c r="B100" s="197" t="s">
        <v>314</v>
      </c>
      <c r="C100" s="238" t="s">
        <v>36</v>
      </c>
      <c r="D100" s="224" t="s">
        <v>37</v>
      </c>
      <c r="E100" s="224" t="s">
        <v>38</v>
      </c>
      <c r="F100" s="224" t="s">
        <v>310</v>
      </c>
      <c r="G100" s="224" t="s">
        <v>220</v>
      </c>
      <c r="H100" s="48"/>
      <c r="I100" s="292">
        <v>3327.63</v>
      </c>
      <c r="J100" s="293">
        <v>0</v>
      </c>
      <c r="K100" s="293">
        <v>0</v>
      </c>
      <c r="L100" s="293">
        <f>K100+I100+J100</f>
        <v>3327.63</v>
      </c>
      <c r="M100" s="215" t="s">
        <v>239</v>
      </c>
    </row>
    <row r="101" spans="1:13" ht="15.75">
      <c r="A101" s="207"/>
      <c r="B101" s="219"/>
      <c r="C101" s="238"/>
      <c r="D101" s="224"/>
      <c r="E101" s="224"/>
      <c r="F101" s="224"/>
      <c r="G101" s="224"/>
      <c r="H101" s="48"/>
      <c r="I101" s="292"/>
      <c r="J101" s="294"/>
      <c r="K101" s="294"/>
      <c r="L101" s="294"/>
      <c r="M101" s="216"/>
    </row>
    <row r="102" spans="1:13" ht="27" customHeight="1">
      <c r="A102" s="207"/>
      <c r="B102" s="219"/>
      <c r="C102" s="238"/>
      <c r="D102" s="224"/>
      <c r="E102" s="224"/>
      <c r="F102" s="224"/>
      <c r="G102" s="224"/>
      <c r="H102" s="48"/>
      <c r="I102" s="292"/>
      <c r="J102" s="295"/>
      <c r="K102" s="295"/>
      <c r="L102" s="295"/>
      <c r="M102" s="217"/>
    </row>
    <row r="103" spans="1:13" ht="18.75" customHeight="1">
      <c r="A103" s="200"/>
      <c r="B103" s="198"/>
      <c r="C103" s="211" t="s">
        <v>234</v>
      </c>
      <c r="D103" s="212"/>
      <c r="E103" s="212"/>
      <c r="F103" s="212"/>
      <c r="G103" s="213"/>
      <c r="H103" s="48"/>
      <c r="I103" s="191">
        <f>I100</f>
        <v>3327.63</v>
      </c>
      <c r="J103" s="191">
        <f>J100</f>
        <v>0</v>
      </c>
      <c r="K103" s="191">
        <f>K100</f>
        <v>0</v>
      </c>
      <c r="L103" s="191">
        <f>L100</f>
        <v>3327.63</v>
      </c>
      <c r="M103" s="190"/>
    </row>
    <row r="104" spans="1:15" ht="18.75" customHeight="1">
      <c r="A104" s="199">
        <f>A100+1</f>
        <v>17</v>
      </c>
      <c r="B104" s="197" t="s">
        <v>315</v>
      </c>
      <c r="C104" s="238" t="s">
        <v>36</v>
      </c>
      <c r="D104" s="224" t="s">
        <v>37</v>
      </c>
      <c r="E104" s="224" t="s">
        <v>38</v>
      </c>
      <c r="F104" s="224" t="s">
        <v>313</v>
      </c>
      <c r="G104" s="224" t="s">
        <v>220</v>
      </c>
      <c r="H104" s="48"/>
      <c r="I104" s="293">
        <v>1200</v>
      </c>
      <c r="J104" s="292">
        <v>0</v>
      </c>
      <c r="K104" s="292">
        <v>0</v>
      </c>
      <c r="L104" s="292">
        <f>I104+J104+K104</f>
        <v>1200</v>
      </c>
      <c r="M104" s="215" t="s">
        <v>239</v>
      </c>
      <c r="O104" s="183"/>
    </row>
    <row r="105" spans="1:13" ht="18.75" customHeight="1">
      <c r="A105" s="207"/>
      <c r="B105" s="219"/>
      <c r="C105" s="238"/>
      <c r="D105" s="224"/>
      <c r="E105" s="224"/>
      <c r="F105" s="224"/>
      <c r="G105" s="224"/>
      <c r="H105" s="48"/>
      <c r="I105" s="294"/>
      <c r="J105" s="292"/>
      <c r="K105" s="292"/>
      <c r="L105" s="292"/>
      <c r="M105" s="216"/>
    </row>
    <row r="106" spans="1:13" ht="18.75" customHeight="1">
      <c r="A106" s="200"/>
      <c r="B106" s="219"/>
      <c r="C106" s="238"/>
      <c r="D106" s="224"/>
      <c r="E106" s="224"/>
      <c r="F106" s="224"/>
      <c r="G106" s="224"/>
      <c r="H106" s="48"/>
      <c r="I106" s="295"/>
      <c r="J106" s="292"/>
      <c r="K106" s="292"/>
      <c r="L106" s="292"/>
      <c r="M106" s="217"/>
    </row>
    <row r="107" spans="1:15" ht="18.75" customHeight="1">
      <c r="A107" s="119"/>
      <c r="B107" s="198"/>
      <c r="C107" s="211" t="s">
        <v>311</v>
      </c>
      <c r="D107" s="212"/>
      <c r="E107" s="212"/>
      <c r="F107" s="212"/>
      <c r="G107" s="213"/>
      <c r="H107" s="48"/>
      <c r="I107" s="191">
        <f>I104</f>
        <v>1200</v>
      </c>
      <c r="J107" s="191">
        <f>J104</f>
        <v>0</v>
      </c>
      <c r="K107" s="191">
        <f>K104</f>
        <v>0</v>
      </c>
      <c r="L107" s="191">
        <f>L104</f>
        <v>1200</v>
      </c>
      <c r="M107" s="190"/>
      <c r="O107" s="183"/>
    </row>
    <row r="108" spans="1:13" ht="55.5" customHeight="1">
      <c r="A108" s="199">
        <f>A104+1</f>
        <v>18</v>
      </c>
      <c r="B108" s="197" t="s">
        <v>312</v>
      </c>
      <c r="C108" s="221" t="s">
        <v>36</v>
      </c>
      <c r="D108" s="224" t="s">
        <v>37</v>
      </c>
      <c r="E108" s="78" t="s">
        <v>38</v>
      </c>
      <c r="F108" s="53" t="s">
        <v>197</v>
      </c>
      <c r="G108" s="60" t="s">
        <v>220</v>
      </c>
      <c r="H108" s="144">
        <v>2986.469</v>
      </c>
      <c r="I108" s="48">
        <v>0</v>
      </c>
      <c r="J108" s="80">
        <v>0</v>
      </c>
      <c r="K108" s="80">
        <v>0</v>
      </c>
      <c r="L108" s="48">
        <f>I108+J108+K108</f>
        <v>0</v>
      </c>
      <c r="M108" s="41" t="s">
        <v>239</v>
      </c>
    </row>
    <row r="109" spans="1:15" ht="54" customHeight="1">
      <c r="A109" s="207"/>
      <c r="B109" s="219"/>
      <c r="C109" s="221"/>
      <c r="D109" s="224"/>
      <c r="E109" s="60" t="s">
        <v>38</v>
      </c>
      <c r="F109" s="53" t="s">
        <v>250</v>
      </c>
      <c r="G109" s="60" t="s">
        <v>37</v>
      </c>
      <c r="H109" s="144">
        <v>0</v>
      </c>
      <c r="I109" s="48">
        <v>4000</v>
      </c>
      <c r="J109" s="80">
        <v>0</v>
      </c>
      <c r="K109" s="80">
        <v>0</v>
      </c>
      <c r="L109" s="48">
        <f t="shared" si="7"/>
        <v>4000</v>
      </c>
      <c r="M109" s="41" t="s">
        <v>251</v>
      </c>
      <c r="O109" s="183"/>
    </row>
    <row r="110" spans="1:13" ht="18.75" customHeight="1">
      <c r="A110" s="200"/>
      <c r="B110" s="198"/>
      <c r="C110" s="211" t="s">
        <v>228</v>
      </c>
      <c r="D110" s="212"/>
      <c r="E110" s="212"/>
      <c r="F110" s="212"/>
      <c r="G110" s="213"/>
      <c r="H110" s="144">
        <f>H108+H109</f>
        <v>2986.469</v>
      </c>
      <c r="I110" s="48">
        <f>I108+I109</f>
        <v>4000</v>
      </c>
      <c r="J110" s="48">
        <f>J108+J109</f>
        <v>0</v>
      </c>
      <c r="K110" s="48">
        <f>K108+K109</f>
        <v>0</v>
      </c>
      <c r="L110" s="48">
        <f>L109</f>
        <v>4000</v>
      </c>
      <c r="M110" s="124"/>
    </row>
    <row r="111" spans="1:15" s="38" customFormat="1" ht="31.5">
      <c r="A111" s="75">
        <f>A108+1</f>
        <v>19</v>
      </c>
      <c r="B111" s="122" t="s">
        <v>273</v>
      </c>
      <c r="C111" s="56" t="s">
        <v>28</v>
      </c>
      <c r="D111" s="57" t="s">
        <v>28</v>
      </c>
      <c r="E111" s="57" t="s">
        <v>28</v>
      </c>
      <c r="F111" s="57" t="s">
        <v>28</v>
      </c>
      <c r="G111" s="57" t="s">
        <v>28</v>
      </c>
      <c r="H111" s="84">
        <f>H117+H125</f>
        <v>40516.554000000004</v>
      </c>
      <c r="I111" s="84">
        <f>I117+I125</f>
        <v>44747.617999999995</v>
      </c>
      <c r="J111" s="84">
        <f>J117+J125</f>
        <v>42735.803</v>
      </c>
      <c r="K111" s="84">
        <f>K117+K125</f>
        <v>42735.803</v>
      </c>
      <c r="L111" s="84">
        <f>I111+J111+K111</f>
        <v>130219.224</v>
      </c>
      <c r="M111" s="58" t="s">
        <v>28</v>
      </c>
      <c r="O111" s="184"/>
    </row>
    <row r="112" spans="1:13" ht="15.75" customHeight="1">
      <c r="A112" s="199">
        <f>A111+1</f>
        <v>20</v>
      </c>
      <c r="B112" s="277" t="s">
        <v>240</v>
      </c>
      <c r="C112" s="215" t="s">
        <v>36</v>
      </c>
      <c r="D112" s="209" t="s">
        <v>37</v>
      </c>
      <c r="E112" s="209" t="s">
        <v>60</v>
      </c>
      <c r="F112" s="238" t="s">
        <v>241</v>
      </c>
      <c r="G112" s="60" t="s">
        <v>58</v>
      </c>
      <c r="H112" s="48">
        <f>1529.13</f>
        <v>1529.13</v>
      </c>
      <c r="I112" s="48">
        <f>1936.323</f>
        <v>1936.323</v>
      </c>
      <c r="J112" s="48">
        <f>1936.323</f>
        <v>1936.323</v>
      </c>
      <c r="K112" s="48">
        <f>1936.323</f>
        <v>1936.323</v>
      </c>
      <c r="L112" s="48">
        <f aca="true" t="shared" si="10" ref="L112:L124">I112+J112+K112</f>
        <v>5808.969</v>
      </c>
      <c r="M112" s="215" t="s">
        <v>242</v>
      </c>
    </row>
    <row r="113" spans="1:13" ht="15.75">
      <c r="A113" s="207"/>
      <c r="B113" s="277"/>
      <c r="C113" s="216"/>
      <c r="D113" s="220"/>
      <c r="E113" s="220"/>
      <c r="F113" s="224"/>
      <c r="G113" s="60" t="s">
        <v>243</v>
      </c>
      <c r="H113" s="48">
        <v>428.75</v>
      </c>
      <c r="I113" s="48">
        <v>425</v>
      </c>
      <c r="J113" s="48">
        <f>305</f>
        <v>305</v>
      </c>
      <c r="K113" s="48">
        <f>305</f>
        <v>305</v>
      </c>
      <c r="L113" s="48">
        <f t="shared" si="10"/>
        <v>1035</v>
      </c>
      <c r="M113" s="216"/>
    </row>
    <row r="114" spans="1:13" ht="15.75" customHeight="1">
      <c r="A114" s="207"/>
      <c r="B114" s="277"/>
      <c r="C114" s="216"/>
      <c r="D114" s="220"/>
      <c r="E114" s="220"/>
      <c r="F114" s="224"/>
      <c r="G114" s="60" t="s">
        <v>107</v>
      </c>
      <c r="H114" s="48">
        <f>461.797</f>
        <v>461.797</v>
      </c>
      <c r="I114" s="48">
        <f>584.769</f>
        <v>584.769</v>
      </c>
      <c r="J114" s="48">
        <f>584.769</f>
        <v>584.769</v>
      </c>
      <c r="K114" s="48">
        <f>584.769</f>
        <v>584.769</v>
      </c>
      <c r="L114" s="48">
        <f t="shared" si="10"/>
        <v>1754.307</v>
      </c>
      <c r="M114" s="216"/>
    </row>
    <row r="115" spans="1:13" ht="15.75">
      <c r="A115" s="207"/>
      <c r="B115" s="277"/>
      <c r="C115" s="216"/>
      <c r="D115" s="220"/>
      <c r="E115" s="220"/>
      <c r="F115" s="224"/>
      <c r="G115" s="60" t="s">
        <v>37</v>
      </c>
      <c r="H115" s="48">
        <v>832.95</v>
      </c>
      <c r="I115" s="48">
        <f>874.148</f>
        <v>874.148</v>
      </c>
      <c r="J115" s="80">
        <f>874.048</f>
        <v>874.048</v>
      </c>
      <c r="K115" s="80">
        <f>J115</f>
        <v>874.048</v>
      </c>
      <c r="L115" s="48">
        <f t="shared" si="10"/>
        <v>2622.2439999999997</v>
      </c>
      <c r="M115" s="216"/>
    </row>
    <row r="116" spans="1:13" ht="15.75">
      <c r="A116" s="207"/>
      <c r="B116" s="277"/>
      <c r="C116" s="216"/>
      <c r="D116" s="220"/>
      <c r="E116" s="220"/>
      <c r="F116" s="224"/>
      <c r="G116" s="60" t="s">
        <v>41</v>
      </c>
      <c r="H116" s="48">
        <v>10</v>
      </c>
      <c r="I116" s="48">
        <f>10</f>
        <v>10</v>
      </c>
      <c r="J116" s="80">
        <v>10</v>
      </c>
      <c r="K116" s="80">
        <v>10</v>
      </c>
      <c r="L116" s="48" t="s">
        <v>296</v>
      </c>
      <c r="M116" s="216"/>
    </row>
    <row r="117" spans="1:15" ht="15.75">
      <c r="A117" s="200"/>
      <c r="B117" s="277"/>
      <c r="C117" s="211" t="s">
        <v>244</v>
      </c>
      <c r="D117" s="212"/>
      <c r="E117" s="212"/>
      <c r="F117" s="212"/>
      <c r="G117" s="213"/>
      <c r="H117" s="48">
        <f>H112+H113+H114+H115+H116</f>
        <v>3262.6270000000004</v>
      </c>
      <c r="I117" s="48">
        <f>I112+I113+I114+I115+I116</f>
        <v>3830.2400000000007</v>
      </c>
      <c r="J117" s="48">
        <f>J112+J113+J114+J115+J116</f>
        <v>3710.1400000000003</v>
      </c>
      <c r="K117" s="48">
        <f>K112+K113+K114+K115+K116</f>
        <v>3710.1400000000003</v>
      </c>
      <c r="L117" s="48">
        <f t="shared" si="10"/>
        <v>11250.52</v>
      </c>
      <c r="M117" s="216"/>
      <c r="O117" s="183"/>
    </row>
    <row r="118" spans="1:13" ht="15.75" customHeight="1">
      <c r="A118" s="199">
        <f>A112+1</f>
        <v>21</v>
      </c>
      <c r="B118" s="277" t="s">
        <v>245</v>
      </c>
      <c r="C118" s="215" t="s">
        <v>36</v>
      </c>
      <c r="D118" s="220" t="s">
        <v>37</v>
      </c>
      <c r="E118" s="220" t="s">
        <v>60</v>
      </c>
      <c r="F118" s="238" t="s">
        <v>297</v>
      </c>
      <c r="G118" s="60" t="s">
        <v>39</v>
      </c>
      <c r="H118" s="48">
        <v>27172.562</v>
      </c>
      <c r="I118" s="48">
        <f>27609.465</f>
        <v>27609.465</v>
      </c>
      <c r="J118" s="80">
        <f>28259.465</f>
        <v>28259.465</v>
      </c>
      <c r="K118" s="80">
        <f>28259.465</f>
        <v>28259.465</v>
      </c>
      <c r="L118" s="48">
        <f t="shared" si="10"/>
        <v>84128.395</v>
      </c>
      <c r="M118" s="216"/>
    </row>
    <row r="119" spans="1:13" ht="15.75">
      <c r="A119" s="207"/>
      <c r="B119" s="277"/>
      <c r="C119" s="216"/>
      <c r="D119" s="220"/>
      <c r="E119" s="220"/>
      <c r="F119" s="224"/>
      <c r="G119" s="60" t="s">
        <v>40</v>
      </c>
      <c r="H119" s="48">
        <v>1674.913</v>
      </c>
      <c r="I119" s="48">
        <v>1314.262</v>
      </c>
      <c r="J119" s="48">
        <v>1614.262</v>
      </c>
      <c r="K119" s="48">
        <v>1614.262</v>
      </c>
      <c r="L119" s="48">
        <f t="shared" si="10"/>
        <v>4542.786</v>
      </c>
      <c r="M119" s="216"/>
    </row>
    <row r="120" spans="1:13" ht="15.75" customHeight="1">
      <c r="A120" s="207"/>
      <c r="B120" s="277"/>
      <c r="C120" s="216"/>
      <c r="D120" s="220"/>
      <c r="E120" s="220"/>
      <c r="F120" s="224"/>
      <c r="G120" s="60" t="s">
        <v>106</v>
      </c>
      <c r="H120" s="48">
        <v>8206.452</v>
      </c>
      <c r="I120" s="48">
        <f>8338.41</f>
        <v>8338.41</v>
      </c>
      <c r="J120" s="48">
        <f>8534.71</f>
        <v>8534.71</v>
      </c>
      <c r="K120" s="48">
        <f>8534.71</f>
        <v>8534.71</v>
      </c>
      <c r="L120" s="48">
        <f t="shared" si="10"/>
        <v>25407.829999999998</v>
      </c>
      <c r="M120" s="216"/>
    </row>
    <row r="121" spans="1:13" ht="20.25" customHeight="1">
      <c r="A121" s="207"/>
      <c r="B121" s="277"/>
      <c r="C121" s="216"/>
      <c r="D121" s="210"/>
      <c r="E121" s="210"/>
      <c r="F121" s="224"/>
      <c r="G121" s="60" t="s">
        <v>37</v>
      </c>
      <c r="H121" s="48">
        <v>200</v>
      </c>
      <c r="I121" s="48">
        <f>217.226</f>
        <v>217.226</v>
      </c>
      <c r="J121" s="48">
        <f>617.226</f>
        <v>617.226</v>
      </c>
      <c r="K121" s="48">
        <f>617.226</f>
        <v>617.226</v>
      </c>
      <c r="L121" s="48">
        <f t="shared" si="10"/>
        <v>1451.6779999999999</v>
      </c>
      <c r="M121" s="216"/>
    </row>
    <row r="122" spans="1:13" ht="17.25" customHeight="1">
      <c r="A122" s="207"/>
      <c r="B122" s="277"/>
      <c r="C122" s="216"/>
      <c r="D122" s="209" t="s">
        <v>37</v>
      </c>
      <c r="E122" s="209" t="s">
        <v>60</v>
      </c>
      <c r="F122" s="218" t="s">
        <v>298</v>
      </c>
      <c r="G122" s="60" t="s">
        <v>39</v>
      </c>
      <c r="H122" s="48"/>
      <c r="I122" s="48">
        <v>2521.056</v>
      </c>
      <c r="J122" s="48">
        <v>0</v>
      </c>
      <c r="K122" s="48">
        <v>0</v>
      </c>
      <c r="L122" s="48">
        <f t="shared" si="10"/>
        <v>2521.056</v>
      </c>
      <c r="M122" s="216"/>
    </row>
    <row r="123" spans="1:13" ht="19.5" customHeight="1">
      <c r="A123" s="207"/>
      <c r="B123" s="277"/>
      <c r="C123" s="216"/>
      <c r="D123" s="220"/>
      <c r="E123" s="220"/>
      <c r="F123" s="226"/>
      <c r="G123" s="60" t="s">
        <v>40</v>
      </c>
      <c r="H123" s="48"/>
      <c r="I123" s="48">
        <v>155.6</v>
      </c>
      <c r="J123" s="48">
        <v>0</v>
      </c>
      <c r="K123" s="48">
        <v>0</v>
      </c>
      <c r="L123" s="48">
        <f t="shared" si="10"/>
        <v>155.6</v>
      </c>
      <c r="M123" s="216"/>
    </row>
    <row r="124" spans="1:13" ht="19.5" customHeight="1">
      <c r="A124" s="207"/>
      <c r="B124" s="277"/>
      <c r="C124" s="217"/>
      <c r="D124" s="210"/>
      <c r="E124" s="210"/>
      <c r="F124" s="227"/>
      <c r="G124" s="60" t="s">
        <v>106</v>
      </c>
      <c r="H124" s="48"/>
      <c r="I124" s="48">
        <v>761.359</v>
      </c>
      <c r="J124" s="48">
        <v>0</v>
      </c>
      <c r="K124" s="48">
        <v>0</v>
      </c>
      <c r="L124" s="48">
        <f t="shared" si="10"/>
        <v>761.359</v>
      </c>
      <c r="M124" s="216"/>
    </row>
    <row r="125" spans="1:15" ht="18" customHeight="1">
      <c r="A125" s="200"/>
      <c r="B125" s="277"/>
      <c r="C125" s="211" t="s">
        <v>246</v>
      </c>
      <c r="D125" s="212"/>
      <c r="E125" s="212"/>
      <c r="F125" s="212"/>
      <c r="G125" s="213"/>
      <c r="H125" s="48">
        <f>H118+H119+H120+H121</f>
        <v>37253.927</v>
      </c>
      <c r="I125" s="48">
        <f>I118+I119+I120+I121+I122+I123+I124</f>
        <v>40917.378</v>
      </c>
      <c r="J125" s="48">
        <f>J118+J119+J120+J121+J122+J123+J124</f>
        <v>39025.663</v>
      </c>
      <c r="K125" s="48">
        <f>K118+K119+K120+K121+K122+K123+K124</f>
        <v>39025.663</v>
      </c>
      <c r="L125" s="48">
        <f>I125+J125+K125</f>
        <v>118968.704</v>
      </c>
      <c r="M125" s="217"/>
      <c r="O125" s="183"/>
    </row>
    <row r="126" spans="1:15" ht="36" customHeight="1">
      <c r="A126" s="118">
        <f>A118+1</f>
        <v>22</v>
      </c>
      <c r="B126" s="122" t="s">
        <v>306</v>
      </c>
      <c r="C126" s="187"/>
      <c r="D126" s="188"/>
      <c r="E126" s="188"/>
      <c r="F126" s="188"/>
      <c r="G126" s="189"/>
      <c r="H126" s="48"/>
      <c r="I126" s="84">
        <f>I127</f>
        <v>2000</v>
      </c>
      <c r="J126" s="84">
        <f>J127</f>
        <v>0</v>
      </c>
      <c r="K126" s="84">
        <f>K127</f>
        <v>0</v>
      </c>
      <c r="L126" s="48"/>
      <c r="M126" s="190"/>
      <c r="O126" s="183"/>
    </row>
    <row r="127" spans="1:15" ht="81" customHeight="1">
      <c r="A127" s="118">
        <f>A126+1</f>
        <v>23</v>
      </c>
      <c r="B127" s="197" t="s">
        <v>307</v>
      </c>
      <c r="C127" s="192" t="s">
        <v>36</v>
      </c>
      <c r="D127" s="60" t="s">
        <v>37</v>
      </c>
      <c r="E127" s="60" t="s">
        <v>38</v>
      </c>
      <c r="F127" s="60" t="s">
        <v>308</v>
      </c>
      <c r="G127" s="60" t="s">
        <v>37</v>
      </c>
      <c r="H127" s="48"/>
      <c r="I127" s="48">
        <v>2000</v>
      </c>
      <c r="J127" s="80">
        <v>0</v>
      </c>
      <c r="K127" s="80">
        <v>0</v>
      </c>
      <c r="L127" s="48">
        <f>SUM(I127:K127)</f>
        <v>2000</v>
      </c>
      <c r="M127" s="190" t="s">
        <v>309</v>
      </c>
      <c r="O127" s="184"/>
    </row>
    <row r="128" spans="1:15" ht="17.25" customHeight="1">
      <c r="A128" s="118"/>
      <c r="B128" s="198"/>
      <c r="C128" s="211" t="s">
        <v>316</v>
      </c>
      <c r="D128" s="212"/>
      <c r="E128" s="212"/>
      <c r="F128" s="212"/>
      <c r="G128" s="213"/>
      <c r="H128" s="48"/>
      <c r="I128" s="48">
        <f>I127</f>
        <v>2000</v>
      </c>
      <c r="J128" s="80"/>
      <c r="K128" s="80"/>
      <c r="L128" s="48"/>
      <c r="M128" s="190"/>
      <c r="O128" s="183"/>
    </row>
    <row r="129" spans="1:13" ht="15.75">
      <c r="A129" s="75">
        <f>A127+1</f>
        <v>24</v>
      </c>
      <c r="B129" s="61" t="s">
        <v>22</v>
      </c>
      <c r="C129" s="62" t="s">
        <v>28</v>
      </c>
      <c r="D129" s="60" t="s">
        <v>28</v>
      </c>
      <c r="E129" s="60" t="s">
        <v>28</v>
      </c>
      <c r="F129" s="60" t="s">
        <v>28</v>
      </c>
      <c r="G129" s="60" t="s">
        <v>28</v>
      </c>
      <c r="H129" s="85" t="s">
        <v>28</v>
      </c>
      <c r="I129" s="85" t="s">
        <v>28</v>
      </c>
      <c r="J129" s="80" t="str">
        <f>I129</f>
        <v>х</v>
      </c>
      <c r="K129" s="80" t="str">
        <f>J129</f>
        <v>х</v>
      </c>
      <c r="L129" s="48">
        <f>SUM(I129:K129)</f>
        <v>0</v>
      </c>
      <c r="M129" s="58" t="s">
        <v>28</v>
      </c>
    </row>
    <row r="130" spans="1:13" ht="63">
      <c r="A130" s="75">
        <f>A129+1</f>
        <v>25</v>
      </c>
      <c r="B130" s="55"/>
      <c r="C130" s="41" t="s">
        <v>62</v>
      </c>
      <c r="D130" s="60" t="s">
        <v>218</v>
      </c>
      <c r="E130" s="60" t="s">
        <v>28</v>
      </c>
      <c r="F130" s="60" t="s">
        <v>28</v>
      </c>
      <c r="G130" s="60" t="s">
        <v>28</v>
      </c>
      <c r="H130" s="48">
        <f>H86</f>
        <v>0</v>
      </c>
      <c r="I130" s="48">
        <f>I86</f>
        <v>0</v>
      </c>
      <c r="J130" s="80">
        <f>I130</f>
        <v>0</v>
      </c>
      <c r="K130" s="80">
        <f>J130</f>
        <v>0</v>
      </c>
      <c r="L130" s="48">
        <f>SUM(I130:K130)</f>
        <v>0</v>
      </c>
      <c r="M130" s="58" t="s">
        <v>28</v>
      </c>
    </row>
    <row r="131" spans="1:13" ht="47.25">
      <c r="A131" s="75">
        <f>A130+1</f>
        <v>26</v>
      </c>
      <c r="B131" s="55"/>
      <c r="C131" s="41" t="s">
        <v>36</v>
      </c>
      <c r="D131" s="60" t="s">
        <v>37</v>
      </c>
      <c r="E131" s="60" t="s">
        <v>28</v>
      </c>
      <c r="F131" s="60" t="s">
        <v>28</v>
      </c>
      <c r="G131" s="60" t="s">
        <v>28</v>
      </c>
      <c r="H131" s="48">
        <f>H15</f>
        <v>88184.09600000002</v>
      </c>
      <c r="I131" s="48">
        <f>I15</f>
        <v>102295.589</v>
      </c>
      <c r="J131" s="48">
        <f>J15</f>
        <v>86717.91399999999</v>
      </c>
      <c r="K131" s="48">
        <f>K15</f>
        <v>86722.981</v>
      </c>
      <c r="L131" s="48">
        <f>I131+J131+K131</f>
        <v>275736.484</v>
      </c>
      <c r="M131" s="58" t="s">
        <v>28</v>
      </c>
    </row>
    <row r="132" spans="2:13" ht="15.75">
      <c r="B132" s="12"/>
      <c r="C132" s="9"/>
      <c r="D132" s="22"/>
      <c r="E132" s="22"/>
      <c r="F132" s="22"/>
      <c r="G132" s="22"/>
      <c r="H132" s="22"/>
      <c r="I132" s="51"/>
      <c r="J132" s="51"/>
      <c r="K132" s="51"/>
      <c r="L132" s="32"/>
      <c r="M132" s="9"/>
    </row>
    <row r="133" spans="2:13" ht="15.75" hidden="1">
      <c r="B133" s="6" t="s">
        <v>76</v>
      </c>
      <c r="C133" s="6" t="s">
        <v>75</v>
      </c>
      <c r="D133" s="23"/>
      <c r="E133" s="24"/>
      <c r="F133" s="24"/>
      <c r="G133" s="24"/>
      <c r="H133" s="24"/>
      <c r="I133" s="52"/>
      <c r="J133" s="52"/>
      <c r="K133" s="52"/>
      <c r="L133" s="32"/>
      <c r="M133" s="9"/>
    </row>
    <row r="134" spans="2:13" ht="15.75" hidden="1">
      <c r="B134" s="214"/>
      <c r="C134" s="214"/>
      <c r="D134" s="214"/>
      <c r="E134" s="24"/>
      <c r="F134" s="24"/>
      <c r="G134" s="24"/>
      <c r="H134" s="24"/>
      <c r="I134" s="225"/>
      <c r="J134" s="225"/>
      <c r="K134" s="33"/>
      <c r="L134" s="32"/>
      <c r="M134" s="9"/>
    </row>
    <row r="135" spans="2:13" ht="15.75">
      <c r="B135" s="3"/>
      <c r="C135" s="3"/>
      <c r="D135" s="25"/>
      <c r="E135" s="24"/>
      <c r="F135" s="24"/>
      <c r="G135" s="24"/>
      <c r="H135" s="24"/>
      <c r="I135" s="52"/>
      <c r="J135" s="52"/>
      <c r="K135" s="52"/>
      <c r="L135" s="32"/>
      <c r="M135" s="9"/>
    </row>
    <row r="136" spans="2:13" ht="18.75">
      <c r="B136" s="5"/>
      <c r="C136" s="8"/>
      <c r="D136" s="26"/>
      <c r="E136" s="26"/>
      <c r="F136" s="26"/>
      <c r="G136" s="96"/>
      <c r="H136" s="96"/>
      <c r="I136" s="100"/>
      <c r="J136" s="100"/>
      <c r="K136" s="100"/>
      <c r="L136" s="100"/>
      <c r="M136" s="9"/>
    </row>
    <row r="137" spans="2:13" ht="18.75">
      <c r="B137" s="214"/>
      <c r="C137" s="214"/>
      <c r="D137" s="214"/>
      <c r="E137" s="24"/>
      <c r="F137" s="24"/>
      <c r="G137" s="194"/>
      <c r="H137" s="98"/>
      <c r="I137" s="101"/>
      <c r="J137" s="101"/>
      <c r="K137" s="101"/>
      <c r="L137" s="101"/>
      <c r="M137" s="4"/>
    </row>
    <row r="138" spans="2:13" ht="18.75">
      <c r="B138" s="214"/>
      <c r="C138" s="214"/>
      <c r="D138" s="214"/>
      <c r="E138" s="24"/>
      <c r="F138" s="24"/>
      <c r="G138" s="98"/>
      <c r="H138" s="98"/>
      <c r="I138" s="101"/>
      <c r="J138" s="101"/>
      <c r="K138" s="101"/>
      <c r="L138" s="101"/>
      <c r="M138" s="105"/>
    </row>
    <row r="139" spans="2:13" ht="18.75">
      <c r="B139" s="214"/>
      <c r="C139" s="214"/>
      <c r="D139" s="214"/>
      <c r="E139" s="24"/>
      <c r="F139" s="24"/>
      <c r="G139" s="98"/>
      <c r="H139" s="98"/>
      <c r="I139" s="104"/>
      <c r="J139" s="104"/>
      <c r="K139" s="33"/>
      <c r="L139" s="87"/>
      <c r="M139" s="4"/>
    </row>
    <row r="140" spans="2:13" ht="18.75">
      <c r="B140" s="4"/>
      <c r="C140" s="4"/>
      <c r="D140" s="19"/>
      <c r="E140" s="19"/>
      <c r="F140" s="19"/>
      <c r="G140" s="99"/>
      <c r="H140" s="99"/>
      <c r="I140" s="103"/>
      <c r="J140" s="103"/>
      <c r="K140" s="103"/>
      <c r="L140" s="103"/>
      <c r="M140" s="4"/>
    </row>
    <row r="141" spans="2:13" ht="18.75">
      <c r="B141" s="4"/>
      <c r="C141" s="4"/>
      <c r="D141" s="19"/>
      <c r="E141" s="19"/>
      <c r="F141" s="19"/>
      <c r="G141" s="99"/>
      <c r="H141" s="99"/>
      <c r="I141" s="103"/>
      <c r="J141" s="103"/>
      <c r="K141" s="50"/>
      <c r="L141" s="87"/>
      <c r="M141" s="4"/>
    </row>
    <row r="142" spans="2:13" ht="18.75">
      <c r="B142" s="4"/>
      <c r="C142" s="4"/>
      <c r="D142" s="19"/>
      <c r="E142" s="19"/>
      <c r="F142" s="19"/>
      <c r="G142" s="99"/>
      <c r="H142" s="99"/>
      <c r="I142" s="102"/>
      <c r="J142" s="103"/>
      <c r="K142" s="50"/>
      <c r="L142" s="87"/>
      <c r="M142" s="4"/>
    </row>
    <row r="143" spans="2:13" ht="18.75">
      <c r="B143" s="4"/>
      <c r="C143" s="4"/>
      <c r="D143" s="19"/>
      <c r="E143" s="19"/>
      <c r="F143" s="19"/>
      <c r="G143" s="99"/>
      <c r="H143" s="99"/>
      <c r="I143" s="103"/>
      <c r="J143" s="103"/>
      <c r="K143" s="50"/>
      <c r="L143" s="31"/>
      <c r="M143" s="4"/>
    </row>
    <row r="144" spans="2:13" ht="15.75">
      <c r="B144" s="4"/>
      <c r="C144" s="4"/>
      <c r="D144" s="19"/>
      <c r="E144" s="19"/>
      <c r="F144" s="19"/>
      <c r="G144" s="19"/>
      <c r="H144" s="19"/>
      <c r="I144" s="50"/>
      <c r="J144" s="50"/>
      <c r="K144" s="50"/>
      <c r="L144" s="31"/>
      <c r="M144" s="4"/>
    </row>
    <row r="145" spans="2:13" ht="15.75">
      <c r="B145" s="4"/>
      <c r="C145" s="4"/>
      <c r="D145" s="19"/>
      <c r="E145" s="19"/>
      <c r="F145" s="19"/>
      <c r="G145" s="19"/>
      <c r="H145" s="19"/>
      <c r="I145" s="50"/>
      <c r="J145" s="50"/>
      <c r="K145" s="50"/>
      <c r="L145" s="31"/>
      <c r="M145" s="4"/>
    </row>
    <row r="146" spans="2:13" ht="15.75">
      <c r="B146" s="4"/>
      <c r="C146" s="4"/>
      <c r="D146" s="19"/>
      <c r="E146" s="19"/>
      <c r="F146" s="19"/>
      <c r="G146" s="19"/>
      <c r="H146" s="19"/>
      <c r="I146" s="50"/>
      <c r="J146" s="50"/>
      <c r="K146" s="50"/>
      <c r="L146" s="31"/>
      <c r="M146" s="4"/>
    </row>
    <row r="147" spans="2:13" ht="15.75">
      <c r="B147" s="4"/>
      <c r="C147" s="4"/>
      <c r="D147" s="19"/>
      <c r="E147" s="19"/>
      <c r="F147" s="19"/>
      <c r="G147" s="19"/>
      <c r="H147" s="19"/>
      <c r="I147" s="50"/>
      <c r="J147" s="50"/>
      <c r="K147" s="50"/>
      <c r="L147" s="31"/>
      <c r="M147" s="4"/>
    </row>
    <row r="148" spans="2:13" ht="15.75">
      <c r="B148" s="4"/>
      <c r="C148" s="4"/>
      <c r="D148" s="19"/>
      <c r="E148" s="19"/>
      <c r="F148" s="19"/>
      <c r="G148" s="19"/>
      <c r="H148" s="19"/>
      <c r="I148" s="50"/>
      <c r="J148" s="50"/>
      <c r="K148" s="50"/>
      <c r="L148" s="31"/>
      <c r="M148" s="4"/>
    </row>
    <row r="149" spans="2:13" ht="15.75">
      <c r="B149" s="4"/>
      <c r="C149" s="4"/>
      <c r="D149" s="19"/>
      <c r="E149" s="19"/>
      <c r="F149" s="19"/>
      <c r="G149" s="19"/>
      <c r="H149" s="19"/>
      <c r="I149" s="50"/>
      <c r="J149" s="50"/>
      <c r="K149" s="50"/>
      <c r="L149" s="31"/>
      <c r="M149" s="4"/>
    </row>
    <row r="150" spans="2:13" ht="15.75">
      <c r="B150" s="4"/>
      <c r="C150" s="4"/>
      <c r="D150" s="19"/>
      <c r="E150" s="19"/>
      <c r="F150" s="19"/>
      <c r="G150" s="19"/>
      <c r="H150" s="19"/>
      <c r="I150" s="50"/>
      <c r="J150" s="50"/>
      <c r="K150" s="50"/>
      <c r="L150" s="31"/>
      <c r="M150" s="4"/>
    </row>
    <row r="151" spans="2:13" ht="15.75">
      <c r="B151" s="4"/>
      <c r="C151" s="4"/>
      <c r="D151" s="19"/>
      <c r="E151" s="19"/>
      <c r="F151" s="19"/>
      <c r="G151" s="19"/>
      <c r="H151" s="19"/>
      <c r="I151" s="50"/>
      <c r="J151" s="50"/>
      <c r="K151" s="50"/>
      <c r="L151" s="31"/>
      <c r="M151" s="4"/>
    </row>
    <row r="152" spans="2:13" ht="15.75">
      <c r="B152" s="4"/>
      <c r="C152" s="4"/>
      <c r="D152" s="19"/>
      <c r="E152" s="19"/>
      <c r="F152" s="19"/>
      <c r="G152" s="19"/>
      <c r="H152" s="19"/>
      <c r="I152" s="50"/>
      <c r="J152" s="50"/>
      <c r="K152" s="50"/>
      <c r="L152" s="31"/>
      <c r="M152" s="4"/>
    </row>
    <row r="153" spans="2:13" ht="15.75">
      <c r="B153" s="4"/>
      <c r="C153" s="4"/>
      <c r="D153" s="19"/>
      <c r="E153" s="19"/>
      <c r="F153" s="19"/>
      <c r="G153" s="19"/>
      <c r="H153" s="19"/>
      <c r="I153" s="50"/>
      <c r="J153" s="50"/>
      <c r="K153" s="50"/>
      <c r="L153" s="31"/>
      <c r="M153" s="4"/>
    </row>
    <row r="154" spans="2:13" ht="15.75">
      <c r="B154" s="4"/>
      <c r="C154" s="4"/>
      <c r="D154" s="19"/>
      <c r="E154" s="19"/>
      <c r="F154" s="19"/>
      <c r="G154" s="19"/>
      <c r="H154" s="19"/>
      <c r="I154" s="50"/>
      <c r="J154" s="50"/>
      <c r="K154" s="50"/>
      <c r="L154" s="31"/>
      <c r="M154" s="4"/>
    </row>
    <row r="155" spans="2:13" ht="15.75">
      <c r="B155" s="4"/>
      <c r="C155" s="4"/>
      <c r="D155" s="19"/>
      <c r="E155" s="19"/>
      <c r="F155" s="19"/>
      <c r="G155" s="19"/>
      <c r="H155" s="19"/>
      <c r="I155" s="50"/>
      <c r="J155" s="50"/>
      <c r="K155" s="50"/>
      <c r="L155" s="31"/>
      <c r="M155" s="4"/>
    </row>
    <row r="156" spans="2:13" ht="15.75">
      <c r="B156" s="4"/>
      <c r="C156" s="4"/>
      <c r="D156" s="19"/>
      <c r="E156" s="19"/>
      <c r="F156" s="19"/>
      <c r="G156" s="19"/>
      <c r="H156" s="19"/>
      <c r="I156" s="50"/>
      <c r="J156" s="50"/>
      <c r="K156" s="50"/>
      <c r="L156" s="31"/>
      <c r="M156" s="4"/>
    </row>
    <row r="157" spans="2:13" ht="15.75">
      <c r="B157" s="4"/>
      <c r="C157" s="4"/>
      <c r="D157" s="19"/>
      <c r="E157" s="19"/>
      <c r="F157" s="19"/>
      <c r="G157" s="19"/>
      <c r="H157" s="19"/>
      <c r="I157" s="50"/>
      <c r="J157" s="50"/>
      <c r="K157" s="50"/>
      <c r="L157" s="31"/>
      <c r="M157" s="4"/>
    </row>
    <row r="158" spans="2:13" ht="15.75">
      <c r="B158" s="4"/>
      <c r="C158" s="4"/>
      <c r="D158" s="19"/>
      <c r="E158" s="19"/>
      <c r="F158" s="19"/>
      <c r="G158" s="19"/>
      <c r="H158" s="19"/>
      <c r="I158" s="50"/>
      <c r="J158" s="50"/>
      <c r="K158" s="50"/>
      <c r="L158" s="31"/>
      <c r="M158" s="4"/>
    </row>
    <row r="159" spans="2:13" ht="15.75">
      <c r="B159" s="4"/>
      <c r="C159" s="4"/>
      <c r="D159" s="19"/>
      <c r="E159" s="19"/>
      <c r="F159" s="19"/>
      <c r="G159" s="19"/>
      <c r="H159" s="19"/>
      <c r="I159" s="50"/>
      <c r="J159" s="50"/>
      <c r="K159" s="50"/>
      <c r="L159" s="31"/>
      <c r="M159" s="4"/>
    </row>
    <row r="160" spans="2:13" ht="15.75">
      <c r="B160" s="4"/>
      <c r="C160" s="4"/>
      <c r="D160" s="19"/>
      <c r="E160" s="19"/>
      <c r="F160" s="19"/>
      <c r="G160" s="19"/>
      <c r="H160" s="19"/>
      <c r="I160" s="50"/>
      <c r="J160" s="50"/>
      <c r="K160" s="50"/>
      <c r="L160" s="31"/>
      <c r="M160" s="4"/>
    </row>
    <row r="161" spans="2:13" ht="15.75">
      <c r="B161" s="4"/>
      <c r="C161" s="4"/>
      <c r="D161" s="19"/>
      <c r="E161" s="19"/>
      <c r="F161" s="19"/>
      <c r="G161" s="19"/>
      <c r="H161" s="19"/>
      <c r="I161" s="50"/>
      <c r="J161" s="50"/>
      <c r="K161" s="50"/>
      <c r="L161" s="31"/>
      <c r="M161" s="4"/>
    </row>
    <row r="162" spans="2:13" ht="15.75">
      <c r="B162" s="4"/>
      <c r="C162" s="4"/>
      <c r="D162" s="19"/>
      <c r="E162" s="19"/>
      <c r="F162" s="19"/>
      <c r="G162" s="19"/>
      <c r="H162" s="19"/>
      <c r="I162" s="50"/>
      <c r="J162" s="50"/>
      <c r="K162" s="50"/>
      <c r="L162" s="31"/>
      <c r="M162" s="4"/>
    </row>
    <row r="163" spans="2:13" ht="15.75">
      <c r="B163" s="4"/>
      <c r="C163" s="4"/>
      <c r="D163" s="19"/>
      <c r="E163" s="19"/>
      <c r="F163" s="19"/>
      <c r="G163" s="19"/>
      <c r="H163" s="19"/>
      <c r="I163" s="50"/>
      <c r="J163" s="50"/>
      <c r="K163" s="50"/>
      <c r="L163" s="31"/>
      <c r="M163" s="4"/>
    </row>
    <row r="164" spans="2:13" ht="15.75">
      <c r="B164" s="4"/>
      <c r="C164" s="4"/>
      <c r="D164" s="19"/>
      <c r="E164" s="19"/>
      <c r="F164" s="19"/>
      <c r="G164" s="19"/>
      <c r="H164" s="19"/>
      <c r="I164" s="50"/>
      <c r="J164" s="50"/>
      <c r="K164" s="50"/>
      <c r="L164" s="31"/>
      <c r="M164" s="4"/>
    </row>
    <row r="165" spans="2:13" ht="15.75">
      <c r="B165" s="4"/>
      <c r="C165" s="4"/>
      <c r="D165" s="19"/>
      <c r="E165" s="19"/>
      <c r="F165" s="19"/>
      <c r="G165" s="19"/>
      <c r="H165" s="19"/>
      <c r="I165" s="50"/>
      <c r="J165" s="50"/>
      <c r="K165" s="50"/>
      <c r="L165" s="31"/>
      <c r="M165" s="4"/>
    </row>
    <row r="166" spans="2:13" ht="15.75">
      <c r="B166" s="4"/>
      <c r="C166" s="4"/>
      <c r="D166" s="19"/>
      <c r="E166" s="19"/>
      <c r="F166" s="19"/>
      <c r="G166" s="19"/>
      <c r="H166" s="19"/>
      <c r="I166" s="50"/>
      <c r="J166" s="50"/>
      <c r="K166" s="50"/>
      <c r="L166" s="31"/>
      <c r="M166" s="4"/>
    </row>
    <row r="167" spans="2:13" ht="15.75">
      <c r="B167" s="4"/>
      <c r="C167" s="4"/>
      <c r="D167" s="19"/>
      <c r="E167" s="19"/>
      <c r="F167" s="19"/>
      <c r="G167" s="19"/>
      <c r="H167" s="19"/>
      <c r="I167" s="50"/>
      <c r="J167" s="50"/>
      <c r="K167" s="50"/>
      <c r="L167" s="31"/>
      <c r="M167" s="4"/>
    </row>
    <row r="168" spans="2:13" ht="15.75">
      <c r="B168" s="4"/>
      <c r="C168" s="4"/>
      <c r="D168" s="19"/>
      <c r="E168" s="19"/>
      <c r="F168" s="19"/>
      <c r="G168" s="19"/>
      <c r="H168" s="19"/>
      <c r="I168" s="50"/>
      <c r="J168" s="50"/>
      <c r="K168" s="50"/>
      <c r="L168" s="31"/>
      <c r="M168" s="4"/>
    </row>
    <row r="169" spans="2:13" ht="15.75">
      <c r="B169" s="4"/>
      <c r="C169" s="4"/>
      <c r="D169" s="19"/>
      <c r="E169" s="19"/>
      <c r="F169" s="19"/>
      <c r="G169" s="19"/>
      <c r="H169" s="19"/>
      <c r="I169" s="50"/>
      <c r="J169" s="50"/>
      <c r="K169" s="50"/>
      <c r="L169" s="31"/>
      <c r="M169" s="4"/>
    </row>
    <row r="170" spans="2:13" ht="15.75">
      <c r="B170" s="4"/>
      <c r="C170" s="4"/>
      <c r="D170" s="19"/>
      <c r="E170" s="19"/>
      <c r="F170" s="19"/>
      <c r="G170" s="19"/>
      <c r="H170" s="19"/>
      <c r="I170" s="50"/>
      <c r="J170" s="50"/>
      <c r="K170" s="50"/>
      <c r="L170" s="31"/>
      <c r="M170" s="4"/>
    </row>
    <row r="171" spans="2:13" ht="15.75">
      <c r="B171" s="4"/>
      <c r="C171" s="4"/>
      <c r="D171" s="19"/>
      <c r="E171" s="19"/>
      <c r="F171" s="19"/>
      <c r="G171" s="19"/>
      <c r="H171" s="19"/>
      <c r="I171" s="50"/>
      <c r="J171" s="50"/>
      <c r="K171" s="50"/>
      <c r="L171" s="31"/>
      <c r="M171" s="4"/>
    </row>
    <row r="172" spans="2:13" ht="15.75">
      <c r="B172" s="4"/>
      <c r="C172" s="4"/>
      <c r="D172" s="19"/>
      <c r="E172" s="19"/>
      <c r="F172" s="19"/>
      <c r="G172" s="19"/>
      <c r="H172" s="19"/>
      <c r="I172" s="50"/>
      <c r="J172" s="50"/>
      <c r="K172" s="50"/>
      <c r="L172" s="31"/>
      <c r="M172" s="4"/>
    </row>
    <row r="173" spans="2:13" ht="15.75">
      <c r="B173" s="4"/>
      <c r="C173" s="4"/>
      <c r="D173" s="19"/>
      <c r="E173" s="19"/>
      <c r="F173" s="19"/>
      <c r="G173" s="19"/>
      <c r="H173" s="19"/>
      <c r="I173" s="50"/>
      <c r="J173" s="50"/>
      <c r="K173" s="50"/>
      <c r="L173" s="31"/>
      <c r="M173" s="4"/>
    </row>
    <row r="174" spans="2:13" ht="15.75">
      <c r="B174" s="4"/>
      <c r="C174" s="4"/>
      <c r="D174" s="19"/>
      <c r="E174" s="19"/>
      <c r="F174" s="19"/>
      <c r="G174" s="19"/>
      <c r="H174" s="19"/>
      <c r="I174" s="50"/>
      <c r="J174" s="50"/>
      <c r="K174" s="50"/>
      <c r="L174" s="31"/>
      <c r="M174" s="4"/>
    </row>
    <row r="175" spans="2:13" ht="15.75">
      <c r="B175" s="4"/>
      <c r="C175" s="4"/>
      <c r="D175" s="19"/>
      <c r="E175" s="19"/>
      <c r="F175" s="19"/>
      <c r="G175" s="19"/>
      <c r="H175" s="19"/>
      <c r="I175" s="50"/>
      <c r="J175" s="50"/>
      <c r="K175" s="50"/>
      <c r="L175" s="31"/>
      <c r="M175" s="4"/>
    </row>
    <row r="176" spans="2:13" ht="15.75">
      <c r="B176" s="4"/>
      <c r="C176" s="4"/>
      <c r="D176" s="19"/>
      <c r="E176" s="19"/>
      <c r="F176" s="19"/>
      <c r="G176" s="19"/>
      <c r="H176" s="19"/>
      <c r="I176" s="50"/>
      <c r="J176" s="50"/>
      <c r="K176" s="50"/>
      <c r="L176" s="31"/>
      <c r="M176" s="4"/>
    </row>
    <row r="177" spans="2:13" ht="15.75">
      <c r="B177" s="4"/>
      <c r="C177" s="4"/>
      <c r="D177" s="19"/>
      <c r="E177" s="19"/>
      <c r="F177" s="19"/>
      <c r="G177" s="19"/>
      <c r="H177" s="19"/>
      <c r="I177" s="50"/>
      <c r="J177" s="50"/>
      <c r="K177" s="50"/>
      <c r="L177" s="31"/>
      <c r="M177" s="4"/>
    </row>
    <row r="178" spans="2:13" ht="15.75">
      <c r="B178" s="4"/>
      <c r="C178" s="4"/>
      <c r="D178" s="19"/>
      <c r="E178" s="19"/>
      <c r="F178" s="19"/>
      <c r="G178" s="19"/>
      <c r="H178" s="19"/>
      <c r="I178" s="50"/>
      <c r="J178" s="50"/>
      <c r="K178" s="50"/>
      <c r="L178" s="31"/>
      <c r="M178" s="4"/>
    </row>
    <row r="179" spans="2:13" ht="15.75">
      <c r="B179" s="4"/>
      <c r="C179" s="4"/>
      <c r="D179" s="19"/>
      <c r="E179" s="19"/>
      <c r="F179" s="19"/>
      <c r="G179" s="19"/>
      <c r="H179" s="19"/>
      <c r="I179" s="50"/>
      <c r="J179" s="50"/>
      <c r="K179" s="50"/>
      <c r="L179" s="31"/>
      <c r="M179" s="4"/>
    </row>
    <row r="180" spans="2:13" ht="15.75">
      <c r="B180" s="4"/>
      <c r="C180" s="4"/>
      <c r="D180" s="19"/>
      <c r="E180" s="19"/>
      <c r="F180" s="19"/>
      <c r="G180" s="19"/>
      <c r="H180" s="19"/>
      <c r="I180" s="50"/>
      <c r="J180" s="50"/>
      <c r="K180" s="50"/>
      <c r="L180" s="31"/>
      <c r="M180" s="4"/>
    </row>
    <row r="181" spans="2:13" ht="15.75">
      <c r="B181" s="4"/>
      <c r="C181" s="4"/>
      <c r="D181" s="19"/>
      <c r="E181" s="19"/>
      <c r="F181" s="19"/>
      <c r="G181" s="19"/>
      <c r="H181" s="19"/>
      <c r="I181" s="50"/>
      <c r="J181" s="50"/>
      <c r="K181" s="50"/>
      <c r="L181" s="31"/>
      <c r="M181" s="4"/>
    </row>
    <row r="182" spans="2:13" ht="15.75">
      <c r="B182" s="4"/>
      <c r="C182" s="4"/>
      <c r="D182" s="19"/>
      <c r="E182" s="19"/>
      <c r="F182" s="19"/>
      <c r="G182" s="19"/>
      <c r="H182" s="19"/>
      <c r="I182" s="50"/>
      <c r="J182" s="50"/>
      <c r="K182" s="50"/>
      <c r="L182" s="31"/>
      <c r="M182" s="4"/>
    </row>
    <row r="183" spans="2:13" ht="15.75">
      <c r="B183" s="4"/>
      <c r="C183" s="4"/>
      <c r="D183" s="19"/>
      <c r="E183" s="19"/>
      <c r="F183" s="19"/>
      <c r="G183" s="19"/>
      <c r="H183" s="19"/>
      <c r="I183" s="50"/>
      <c r="J183" s="50"/>
      <c r="K183" s="50"/>
      <c r="L183" s="31"/>
      <c r="M183" s="4"/>
    </row>
    <row r="184" spans="2:13" ht="15.75">
      <c r="B184" s="4"/>
      <c r="C184" s="4"/>
      <c r="D184" s="19"/>
      <c r="E184" s="19"/>
      <c r="F184" s="19"/>
      <c r="G184" s="19"/>
      <c r="H184" s="19"/>
      <c r="I184" s="50"/>
      <c r="J184" s="50"/>
      <c r="K184" s="50"/>
      <c r="L184" s="31"/>
      <c r="M184" s="4"/>
    </row>
    <row r="185" spans="2:13" ht="15.75">
      <c r="B185" s="4"/>
      <c r="C185" s="4"/>
      <c r="D185" s="19"/>
      <c r="E185" s="19"/>
      <c r="F185" s="19"/>
      <c r="G185" s="19"/>
      <c r="H185" s="19"/>
      <c r="I185" s="50"/>
      <c r="J185" s="50"/>
      <c r="K185" s="50"/>
      <c r="L185" s="31"/>
      <c r="M185" s="4"/>
    </row>
    <row r="186" spans="2:13" ht="15.75">
      <c r="B186" s="4"/>
      <c r="C186" s="4"/>
      <c r="D186" s="19"/>
      <c r="E186" s="19"/>
      <c r="F186" s="19"/>
      <c r="G186" s="19"/>
      <c r="H186" s="19"/>
      <c r="I186" s="50"/>
      <c r="J186" s="50"/>
      <c r="K186" s="50"/>
      <c r="L186" s="31"/>
      <c r="M186" s="4"/>
    </row>
    <row r="187" spans="2:13" ht="15.75">
      <c r="B187" s="4"/>
      <c r="C187" s="4"/>
      <c r="D187" s="19"/>
      <c r="E187" s="19"/>
      <c r="F187" s="19"/>
      <c r="G187" s="19"/>
      <c r="H187" s="19"/>
      <c r="I187" s="50"/>
      <c r="J187" s="50"/>
      <c r="K187" s="50"/>
      <c r="L187" s="31"/>
      <c r="M187" s="4"/>
    </row>
  </sheetData>
  <sheetProtection/>
  <mergeCells count="194">
    <mergeCell ref="B127:B128"/>
    <mergeCell ref="C128:G128"/>
    <mergeCell ref="J104:J106"/>
    <mergeCell ref="K104:K106"/>
    <mergeCell ref="L104:L106"/>
    <mergeCell ref="M104:M106"/>
    <mergeCell ref="C107:G107"/>
    <mergeCell ref="B104:B107"/>
    <mergeCell ref="M112:M125"/>
    <mergeCell ref="C125:G125"/>
    <mergeCell ref="M100:M102"/>
    <mergeCell ref="C103:G103"/>
    <mergeCell ref="B100:B103"/>
    <mergeCell ref="A100:A103"/>
    <mergeCell ref="A104:A106"/>
    <mergeCell ref="C104:C106"/>
    <mergeCell ref="D104:D106"/>
    <mergeCell ref="E104:E106"/>
    <mergeCell ref="F104:F106"/>
    <mergeCell ref="C100:C102"/>
    <mergeCell ref="C13:C14"/>
    <mergeCell ref="I104:I106"/>
    <mergeCell ref="C118:C124"/>
    <mergeCell ref="G100:G102"/>
    <mergeCell ref="F118:F121"/>
    <mergeCell ref="D118:D121"/>
    <mergeCell ref="D112:D116"/>
    <mergeCell ref="D108:D109"/>
    <mergeCell ref="F100:F102"/>
    <mergeCell ref="G104:G106"/>
    <mergeCell ref="L100:L102"/>
    <mergeCell ref="C97:G97"/>
    <mergeCell ref="M87:M89"/>
    <mergeCell ref="J1:M1"/>
    <mergeCell ref="J2:M2"/>
    <mergeCell ref="J3:M3"/>
    <mergeCell ref="J4:M4"/>
    <mergeCell ref="H13:L13"/>
    <mergeCell ref="B11:M11"/>
    <mergeCell ref="B13:B14"/>
    <mergeCell ref="E122:E124"/>
    <mergeCell ref="D122:D124"/>
    <mergeCell ref="I100:I102"/>
    <mergeCell ref="J100:J102"/>
    <mergeCell ref="K100:K102"/>
    <mergeCell ref="C117:G117"/>
    <mergeCell ref="F112:F116"/>
    <mergeCell ref="D13:G13"/>
    <mergeCell ref="J6:M6"/>
    <mergeCell ref="J7:M9"/>
    <mergeCell ref="E19:E25"/>
    <mergeCell ref="F19:F25"/>
    <mergeCell ref="M19:M35"/>
    <mergeCell ref="F31:F34"/>
    <mergeCell ref="M17:M18"/>
    <mergeCell ref="M13:M14"/>
    <mergeCell ref="L10:M10"/>
    <mergeCell ref="F26:F29"/>
    <mergeCell ref="C18:G18"/>
    <mergeCell ref="B31:B35"/>
    <mergeCell ref="C31:C34"/>
    <mergeCell ref="D31:D34"/>
    <mergeCell ref="B17:B18"/>
    <mergeCell ref="C30:G30"/>
    <mergeCell ref="B19:B30"/>
    <mergeCell ref="C19:C29"/>
    <mergeCell ref="B66:B69"/>
    <mergeCell ref="E26:E29"/>
    <mergeCell ref="D19:D29"/>
    <mergeCell ref="C54:G54"/>
    <mergeCell ref="D50:D51"/>
    <mergeCell ref="C52:G52"/>
    <mergeCell ref="C37:G37"/>
    <mergeCell ref="E31:E34"/>
    <mergeCell ref="B36:B37"/>
    <mergeCell ref="C35:G35"/>
    <mergeCell ref="M36:M37"/>
    <mergeCell ref="B82:B83"/>
    <mergeCell ref="B94:B95"/>
    <mergeCell ref="M92:M93"/>
    <mergeCell ref="M94:M95"/>
    <mergeCell ref="C87:C88"/>
    <mergeCell ref="C41:C42"/>
    <mergeCell ref="B90:B91"/>
    <mergeCell ref="C56:C57"/>
    <mergeCell ref="M45:M49"/>
    <mergeCell ref="B139:D139"/>
    <mergeCell ref="B96:B97"/>
    <mergeCell ref="B92:B93"/>
    <mergeCell ref="C93:G93"/>
    <mergeCell ref="C112:C116"/>
    <mergeCell ref="E87:E88"/>
    <mergeCell ref="D87:D88"/>
    <mergeCell ref="F87:F88"/>
    <mergeCell ref="D100:D102"/>
    <mergeCell ref="E100:E102"/>
    <mergeCell ref="M96:M97"/>
    <mergeCell ref="C99:G99"/>
    <mergeCell ref="B50:B52"/>
    <mergeCell ref="D66:D68"/>
    <mergeCell ref="C83:G83"/>
    <mergeCell ref="B98:B99"/>
    <mergeCell ref="C66:C68"/>
    <mergeCell ref="C84:C85"/>
    <mergeCell ref="D61:D62"/>
    <mergeCell ref="C69:G69"/>
    <mergeCell ref="B138:D138"/>
    <mergeCell ref="C43:G43"/>
    <mergeCell ref="B45:B49"/>
    <mergeCell ref="C49:G49"/>
    <mergeCell ref="C45:C48"/>
    <mergeCell ref="B118:B125"/>
    <mergeCell ref="E112:E116"/>
    <mergeCell ref="G50:G51"/>
    <mergeCell ref="C65:G65"/>
    <mergeCell ref="F50:F51"/>
    <mergeCell ref="B134:D134"/>
    <mergeCell ref="I134:J134"/>
    <mergeCell ref="B137:D137"/>
    <mergeCell ref="D74:D78"/>
    <mergeCell ref="C89:G89"/>
    <mergeCell ref="C86:G86"/>
    <mergeCell ref="E118:E121"/>
    <mergeCell ref="B112:B117"/>
    <mergeCell ref="B74:B79"/>
    <mergeCell ref="F122:F124"/>
    <mergeCell ref="M56:M63"/>
    <mergeCell ref="E56:E57"/>
    <mergeCell ref="F56:F57"/>
    <mergeCell ref="M70:M72"/>
    <mergeCell ref="M74:M79"/>
    <mergeCell ref="M64:M69"/>
    <mergeCell ref="F75:F76"/>
    <mergeCell ref="C72:G72"/>
    <mergeCell ref="M80:M81"/>
    <mergeCell ref="A13:A14"/>
    <mergeCell ref="A17:A18"/>
    <mergeCell ref="A19:A30"/>
    <mergeCell ref="A33:A35"/>
    <mergeCell ref="A36:A37"/>
    <mergeCell ref="B70:B72"/>
    <mergeCell ref="B59:B63"/>
    <mergeCell ref="B56:B58"/>
    <mergeCell ref="B41:B43"/>
    <mergeCell ref="A118:A125"/>
    <mergeCell ref="A56:A58"/>
    <mergeCell ref="A59:A63"/>
    <mergeCell ref="A64:A65"/>
    <mergeCell ref="A66:A69"/>
    <mergeCell ref="A53:A54"/>
    <mergeCell ref="A94:A95"/>
    <mergeCell ref="A70:A72"/>
    <mergeCell ref="A74:A79"/>
    <mergeCell ref="A112:A117"/>
    <mergeCell ref="M38:M39"/>
    <mergeCell ref="C39:G39"/>
    <mergeCell ref="M41:M43"/>
    <mergeCell ref="D41:D42"/>
    <mergeCell ref="C50:C51"/>
    <mergeCell ref="B53:B54"/>
    <mergeCell ref="D45:D48"/>
    <mergeCell ref="M50:M52"/>
    <mergeCell ref="B38:B39"/>
    <mergeCell ref="M53:M54"/>
    <mergeCell ref="A41:A43"/>
    <mergeCell ref="A38:A39"/>
    <mergeCell ref="A45:A49"/>
    <mergeCell ref="A50:A52"/>
    <mergeCell ref="C58:G58"/>
    <mergeCell ref="C81:G81"/>
    <mergeCell ref="C79:G79"/>
    <mergeCell ref="D56:D57"/>
    <mergeCell ref="B64:B65"/>
    <mergeCell ref="E61:E62"/>
    <mergeCell ref="A87:A89"/>
    <mergeCell ref="C59:C62"/>
    <mergeCell ref="C91:G91"/>
    <mergeCell ref="C74:C78"/>
    <mergeCell ref="E75:E78"/>
    <mergeCell ref="F77:F78"/>
    <mergeCell ref="E66:E68"/>
    <mergeCell ref="C63:G63"/>
    <mergeCell ref="F66:F67"/>
    <mergeCell ref="B80:B81"/>
    <mergeCell ref="A108:A110"/>
    <mergeCell ref="C110:G110"/>
    <mergeCell ref="B108:B110"/>
    <mergeCell ref="M98:M99"/>
    <mergeCell ref="M90:M91"/>
    <mergeCell ref="M82:M83"/>
    <mergeCell ref="C95:G95"/>
    <mergeCell ref="M84:M86"/>
    <mergeCell ref="B87:B89"/>
    <mergeCell ref="C108:C109"/>
  </mergeCells>
  <printOptions/>
  <pageMargins left="0.5905511811023623" right="0.2362204724409449" top="0.5118110236220472" bottom="0.35433070866141736" header="0.5118110236220472" footer="0.35433070866141736"/>
  <pageSetup fitToHeight="0" fitToWidth="1" horizontalDpi="600" verticalDpi="600" orientation="landscape" paperSize="9" scale="61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view="pageBreakPreview" zoomScale="75" zoomScaleSheetLayoutView="75" zoomScalePageLayoutView="0" workbookViewId="0" topLeftCell="A1">
      <selection activeCell="I4" sqref="I4:L4"/>
    </sheetView>
  </sheetViews>
  <sheetFormatPr defaultColWidth="17.7109375" defaultRowHeight="12.75" outlineLevelCol="1"/>
  <cols>
    <col min="1" max="1" width="17.7109375" style="4" customWidth="1"/>
    <col min="2" max="2" width="17.7109375" style="17" customWidth="1"/>
    <col min="3" max="3" width="29.8515625" style="4" customWidth="1"/>
    <col min="4" max="7" width="17.7109375" style="19" customWidth="1"/>
    <col min="8" max="8" width="0" style="19" hidden="1" customWidth="1" outlineLevel="1"/>
    <col min="9" max="9" width="17.7109375" style="43" customWidth="1" collapsed="1"/>
    <col min="10" max="12" width="17.7109375" style="43" customWidth="1"/>
    <col min="13" max="16384" width="17.7109375" style="4" customWidth="1"/>
  </cols>
  <sheetData>
    <row r="1" spans="6:12" ht="15.75" customHeight="1">
      <c r="F1" s="23"/>
      <c r="G1" s="23"/>
      <c r="H1" s="23"/>
      <c r="I1" s="214" t="s">
        <v>286</v>
      </c>
      <c r="J1" s="214"/>
      <c r="K1" s="214"/>
      <c r="L1" s="214"/>
    </row>
    <row r="2" spans="6:12" ht="15.75" customHeight="1">
      <c r="F2" s="23"/>
      <c r="G2" s="23"/>
      <c r="H2" s="23"/>
      <c r="I2" s="231" t="s">
        <v>282</v>
      </c>
      <c r="J2" s="231"/>
      <c r="K2" s="231"/>
      <c r="L2" s="231"/>
    </row>
    <row r="3" spans="6:12" ht="15.75" customHeight="1">
      <c r="F3" s="23"/>
      <c r="G3" s="23"/>
      <c r="H3" s="23"/>
      <c r="I3" s="231" t="s">
        <v>283</v>
      </c>
      <c r="J3" s="231"/>
      <c r="K3" s="231"/>
      <c r="L3" s="231"/>
    </row>
    <row r="4" spans="6:12" ht="15.75" customHeight="1">
      <c r="F4" s="23"/>
      <c r="G4" s="23"/>
      <c r="H4" s="23"/>
      <c r="I4" s="231" t="s">
        <v>319</v>
      </c>
      <c r="J4" s="231"/>
      <c r="K4" s="231"/>
      <c r="L4" s="231"/>
    </row>
    <row r="5" spans="6:12" ht="15.75" customHeight="1">
      <c r="F5" s="23"/>
      <c r="G5" s="23"/>
      <c r="H5" s="23"/>
      <c r="I5" s="73"/>
      <c r="J5" s="73"/>
      <c r="K5" s="73"/>
      <c r="L5" s="73"/>
    </row>
    <row r="6" spans="6:12" ht="15.75" customHeight="1">
      <c r="F6" s="23"/>
      <c r="G6" s="23"/>
      <c r="H6" s="23"/>
      <c r="I6" s="302" t="s">
        <v>274</v>
      </c>
      <c r="J6" s="302"/>
      <c r="K6" s="302"/>
      <c r="L6" s="302"/>
    </row>
    <row r="7" spans="6:12" ht="15.75" customHeight="1">
      <c r="F7" s="23"/>
      <c r="G7" s="23"/>
      <c r="H7" s="23"/>
      <c r="I7" s="302" t="s">
        <v>139</v>
      </c>
      <c r="J7" s="302"/>
      <c r="K7" s="302"/>
      <c r="L7" s="302"/>
    </row>
    <row r="8" spans="6:12" ht="15.75" customHeight="1">
      <c r="F8" s="23"/>
      <c r="G8" s="23"/>
      <c r="H8" s="23"/>
      <c r="I8" s="302"/>
      <c r="J8" s="302"/>
      <c r="K8" s="302"/>
      <c r="L8" s="302"/>
    </row>
    <row r="9" spans="6:12" ht="15.75" customHeight="1">
      <c r="F9" s="23"/>
      <c r="G9" s="23"/>
      <c r="H9" s="23"/>
      <c r="I9" s="42"/>
      <c r="J9" s="42"/>
      <c r="K9" s="42"/>
      <c r="L9" s="42"/>
    </row>
    <row r="10" spans="1:12" ht="18.75">
      <c r="A10" s="296" t="s">
        <v>144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</row>
    <row r="11" spans="1:14" ht="18" customHeight="1">
      <c r="A11" s="296" t="s">
        <v>149</v>
      </c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77"/>
      <c r="N11" s="77"/>
    </row>
    <row r="12" spans="1:14" ht="21.75" customHeight="1">
      <c r="A12" s="296" t="s">
        <v>145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77"/>
      <c r="N12" s="77"/>
    </row>
    <row r="13" spans="1:32" ht="18.75">
      <c r="A13" s="296" t="s">
        <v>146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77"/>
      <c r="N13" s="7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>
      <c r="A14" s="296" t="s">
        <v>147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6"/>
      <c r="M14" s="77"/>
      <c r="N14" s="7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>
      <c r="A15" s="296" t="s">
        <v>148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77"/>
      <c r="N15" s="7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>
      <c r="A16" s="1"/>
      <c r="B16" s="1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33" customHeight="1">
      <c r="A17" s="306" t="s">
        <v>17</v>
      </c>
      <c r="B17" s="261" t="s">
        <v>1</v>
      </c>
      <c r="C17" s="261" t="s">
        <v>2</v>
      </c>
      <c r="D17" s="254" t="s">
        <v>3</v>
      </c>
      <c r="E17" s="254"/>
      <c r="F17" s="254"/>
      <c r="G17" s="254"/>
      <c r="H17" s="136"/>
      <c r="I17" s="249"/>
      <c r="J17" s="249"/>
      <c r="K17" s="249"/>
      <c r="L17" s="25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1.5">
      <c r="A18" s="307"/>
      <c r="B18" s="262"/>
      <c r="C18" s="262"/>
      <c r="D18" s="20" t="s">
        <v>4</v>
      </c>
      <c r="E18" s="20" t="s">
        <v>5</v>
      </c>
      <c r="F18" s="20" t="s">
        <v>6</v>
      </c>
      <c r="G18" s="20" t="s">
        <v>7</v>
      </c>
      <c r="H18" s="2" t="s">
        <v>104</v>
      </c>
      <c r="I18" s="2" t="s">
        <v>141</v>
      </c>
      <c r="J18" s="2" t="s">
        <v>142</v>
      </c>
      <c r="K18" s="2" t="s">
        <v>248</v>
      </c>
      <c r="L18" s="28" t="s">
        <v>275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47.25">
      <c r="A19" s="303" t="s">
        <v>10</v>
      </c>
      <c r="B19" s="303" t="s">
        <v>66</v>
      </c>
      <c r="C19" s="18" t="s">
        <v>11</v>
      </c>
      <c r="D19" s="146" t="s">
        <v>28</v>
      </c>
      <c r="E19" s="146" t="s">
        <v>28</v>
      </c>
      <c r="F19" s="146" t="s">
        <v>28</v>
      </c>
      <c r="G19" s="146" t="s">
        <v>28</v>
      </c>
      <c r="H19" s="108">
        <f>SUM(H21:H23)</f>
        <v>210561.32400000002</v>
      </c>
      <c r="I19" s="108">
        <f>SUM(I21:I23)</f>
        <v>224659.515</v>
      </c>
      <c r="J19" s="108">
        <f>SUM(J21:J23)</f>
        <v>150905.59600000002</v>
      </c>
      <c r="K19" s="108">
        <f>SUM(K21:K23)</f>
        <v>150904.79200000002</v>
      </c>
      <c r="L19" s="108">
        <f>I19+J19+K19</f>
        <v>526469.903</v>
      </c>
      <c r="M19" s="89"/>
      <c r="N19" s="89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>
      <c r="A20" s="304"/>
      <c r="B20" s="304"/>
      <c r="C20" s="18" t="s">
        <v>12</v>
      </c>
      <c r="D20" s="146"/>
      <c r="E20" s="146"/>
      <c r="F20" s="146"/>
      <c r="G20" s="146"/>
      <c r="H20" s="108"/>
      <c r="I20" s="108"/>
      <c r="J20" s="108"/>
      <c r="K20" s="108"/>
      <c r="L20" s="10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31.5">
      <c r="A21" s="304"/>
      <c r="B21" s="304"/>
      <c r="C21" s="39" t="s">
        <v>59</v>
      </c>
      <c r="D21" s="146">
        <v>241</v>
      </c>
      <c r="E21" s="146" t="s">
        <v>64</v>
      </c>
      <c r="F21" s="146" t="s">
        <v>119</v>
      </c>
      <c r="G21" s="146" t="s">
        <v>28</v>
      </c>
      <c r="H21" s="108">
        <f>H32</f>
        <v>4337.710999999999</v>
      </c>
      <c r="I21" s="108">
        <f>I32</f>
        <v>4444.935</v>
      </c>
      <c r="J21" s="108">
        <f>J32</f>
        <v>4437.635</v>
      </c>
      <c r="K21" s="108">
        <f>K32</f>
        <v>4437.635</v>
      </c>
      <c r="L21" s="108">
        <f>I21+J21+K21</f>
        <v>13320.205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47.25">
      <c r="A22" s="304"/>
      <c r="B22" s="304"/>
      <c r="C22" s="39" t="s">
        <v>36</v>
      </c>
      <c r="D22" s="146">
        <v>244</v>
      </c>
      <c r="E22" s="146" t="s">
        <v>28</v>
      </c>
      <c r="F22" s="146" t="s">
        <v>28</v>
      </c>
      <c r="G22" s="146" t="s">
        <v>28</v>
      </c>
      <c r="H22" s="108">
        <f>H26+H29+H35</f>
        <v>206223.613</v>
      </c>
      <c r="I22" s="108">
        <f>I26+I29+I35</f>
        <v>220214.58000000002</v>
      </c>
      <c r="J22" s="108">
        <f>J26+J29+J35</f>
        <v>146467.961</v>
      </c>
      <c r="K22" s="108">
        <f>K26+K29+K35</f>
        <v>146467.157</v>
      </c>
      <c r="L22" s="108">
        <f>I22+J22+K22</f>
        <v>513149.69800000003</v>
      </c>
      <c r="M22" s="89"/>
      <c r="N22" s="89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63">
      <c r="A23" s="305"/>
      <c r="B23" s="305"/>
      <c r="C23" s="39" t="s">
        <v>62</v>
      </c>
      <c r="D23" s="146">
        <v>247</v>
      </c>
      <c r="E23" s="146" t="s">
        <v>38</v>
      </c>
      <c r="F23" s="146" t="s">
        <v>120</v>
      </c>
      <c r="G23" s="146" t="s">
        <v>61</v>
      </c>
      <c r="H23" s="108">
        <f>H36</f>
        <v>0</v>
      </c>
      <c r="I23" s="108">
        <f>I36</f>
        <v>0</v>
      </c>
      <c r="J23" s="108">
        <f>J36</f>
        <v>0</v>
      </c>
      <c r="K23" s="108">
        <f>K36</f>
        <v>0</v>
      </c>
      <c r="L23" s="108">
        <f>SUM(I23:K23)</f>
        <v>0</v>
      </c>
      <c r="M23" s="89"/>
      <c r="N23" s="89"/>
      <c r="O23" s="8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48" customFormat="1" ht="47.25">
      <c r="A24" s="221" t="s">
        <v>18</v>
      </c>
      <c r="B24" s="221" t="s">
        <v>67</v>
      </c>
      <c r="C24" s="59" t="s">
        <v>11</v>
      </c>
      <c r="D24" s="147">
        <v>244</v>
      </c>
      <c r="E24" s="147" t="s">
        <v>38</v>
      </c>
      <c r="F24" s="147" t="s">
        <v>121</v>
      </c>
      <c r="G24" s="147" t="s">
        <v>28</v>
      </c>
      <c r="H24" s="108">
        <f>H26</f>
        <v>50749.617</v>
      </c>
      <c r="I24" s="108">
        <f>I26</f>
        <v>51668.831</v>
      </c>
      <c r="J24" s="108">
        <f>J26</f>
        <v>29299.997000000003</v>
      </c>
      <c r="K24" s="108">
        <f>K26</f>
        <v>29308.691000000003</v>
      </c>
      <c r="L24" s="108">
        <f>I24+J24+K24</f>
        <v>110277.51900000001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ht="15.75">
      <c r="A25" s="221"/>
      <c r="B25" s="221"/>
      <c r="C25" s="55" t="s">
        <v>12</v>
      </c>
      <c r="D25" s="53"/>
      <c r="E25" s="53"/>
      <c r="F25" s="53"/>
      <c r="G25" s="53"/>
      <c r="H25" s="53"/>
      <c r="I25" s="83"/>
      <c r="J25" s="83"/>
      <c r="K25" s="83"/>
      <c r="L25" s="8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47.25">
      <c r="A26" s="221"/>
      <c r="B26" s="221"/>
      <c r="C26" s="41" t="s">
        <v>36</v>
      </c>
      <c r="D26" s="53">
        <v>244</v>
      </c>
      <c r="E26" s="53" t="s">
        <v>38</v>
      </c>
      <c r="F26" s="53" t="s">
        <v>121</v>
      </c>
      <c r="G26" s="53" t="s">
        <v>28</v>
      </c>
      <c r="H26" s="83">
        <f>'ППП2-1'!H72</f>
        <v>50749.617</v>
      </c>
      <c r="I26" s="83">
        <f>'ППП2-1'!I72</f>
        <v>51668.831</v>
      </c>
      <c r="J26" s="83">
        <f>'ППП2-1'!J72</f>
        <v>29299.997000000003</v>
      </c>
      <c r="K26" s="83">
        <f>'ППП2-1'!K72</f>
        <v>29308.691000000003</v>
      </c>
      <c r="L26" s="83">
        <f>I26+J26+K26</f>
        <v>110277.51900000001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48" customFormat="1" ht="47.25">
      <c r="A27" s="221" t="s">
        <v>68</v>
      </c>
      <c r="B27" s="221" t="s">
        <v>71</v>
      </c>
      <c r="C27" s="59" t="s">
        <v>11</v>
      </c>
      <c r="D27" s="147">
        <v>244</v>
      </c>
      <c r="E27" s="147" t="s">
        <v>38</v>
      </c>
      <c r="F27" s="147" t="s">
        <v>122</v>
      </c>
      <c r="G27" s="147" t="s">
        <v>28</v>
      </c>
      <c r="H27" s="108">
        <f>H29</f>
        <v>67289.9</v>
      </c>
      <c r="I27" s="108">
        <f>I29</f>
        <v>66250.16</v>
      </c>
      <c r="J27" s="108">
        <f>J29</f>
        <v>30450.05</v>
      </c>
      <c r="K27" s="108">
        <f>K29</f>
        <v>30435.484999999997</v>
      </c>
      <c r="L27" s="108">
        <f>I27+J27+K27</f>
        <v>127135.695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spans="1:32" ht="15.75">
      <c r="A28" s="221"/>
      <c r="B28" s="221"/>
      <c r="C28" s="55" t="s">
        <v>12</v>
      </c>
      <c r="D28" s="53"/>
      <c r="E28" s="53"/>
      <c r="F28" s="53"/>
      <c r="G28" s="53"/>
      <c r="H28" s="53"/>
      <c r="I28" s="83"/>
      <c r="J28" s="83"/>
      <c r="K28" s="83"/>
      <c r="L28" s="8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46.5" customHeight="1">
      <c r="A29" s="221"/>
      <c r="B29" s="221"/>
      <c r="C29" s="41" t="s">
        <v>36</v>
      </c>
      <c r="D29" s="53">
        <v>244</v>
      </c>
      <c r="E29" s="53" t="s">
        <v>38</v>
      </c>
      <c r="F29" s="53" t="s">
        <v>122</v>
      </c>
      <c r="G29" s="53" t="s">
        <v>28</v>
      </c>
      <c r="H29" s="83">
        <f>'ППП2-2'!H44</f>
        <v>67289.9</v>
      </c>
      <c r="I29" s="83">
        <f>'ППП2-2'!I44</f>
        <v>66250.16</v>
      </c>
      <c r="J29" s="83">
        <f>'ППП2-2'!J44</f>
        <v>30450.05</v>
      </c>
      <c r="K29" s="83">
        <f>'ППП2-2'!K44</f>
        <v>30435.484999999997</v>
      </c>
      <c r="L29" s="83">
        <f>I29+J29+K29</f>
        <v>127135.695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148" customFormat="1" ht="45.75" customHeight="1">
      <c r="A30" s="221" t="s">
        <v>69</v>
      </c>
      <c r="B30" s="221" t="s">
        <v>72</v>
      </c>
      <c r="C30" s="59" t="s">
        <v>11</v>
      </c>
      <c r="D30" s="147">
        <v>241</v>
      </c>
      <c r="E30" s="147" t="s">
        <v>64</v>
      </c>
      <c r="F30" s="147" t="s">
        <v>119</v>
      </c>
      <c r="G30" s="147" t="s">
        <v>28</v>
      </c>
      <c r="H30" s="108">
        <f>H32</f>
        <v>4337.710999999999</v>
      </c>
      <c r="I30" s="108">
        <f>I32</f>
        <v>4444.935</v>
      </c>
      <c r="J30" s="108">
        <f>J32</f>
        <v>4437.635</v>
      </c>
      <c r="K30" s="108">
        <f>K32</f>
        <v>4437.635</v>
      </c>
      <c r="L30" s="108">
        <f>I30+J30+K30</f>
        <v>13320.205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spans="1:32" ht="36.75" customHeight="1">
      <c r="A31" s="221"/>
      <c r="B31" s="221"/>
      <c r="C31" s="55" t="s">
        <v>12</v>
      </c>
      <c r="D31" s="53"/>
      <c r="E31" s="53"/>
      <c r="F31" s="53"/>
      <c r="G31" s="53"/>
      <c r="H31" s="83"/>
      <c r="I31" s="83"/>
      <c r="J31" s="83"/>
      <c r="K31" s="83"/>
      <c r="L31" s="8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42" customHeight="1">
      <c r="A32" s="221"/>
      <c r="B32" s="221"/>
      <c r="C32" s="41" t="s">
        <v>59</v>
      </c>
      <c r="D32" s="53">
        <v>241</v>
      </c>
      <c r="E32" s="53" t="s">
        <v>64</v>
      </c>
      <c r="F32" s="53" t="s">
        <v>119</v>
      </c>
      <c r="G32" s="53" t="s">
        <v>28</v>
      </c>
      <c r="H32" s="83">
        <f>'ППП2-3'!H33</f>
        <v>4337.710999999999</v>
      </c>
      <c r="I32" s="83">
        <f>'ППП2-3'!I33</f>
        <v>4444.935</v>
      </c>
      <c r="J32" s="83">
        <f>'ППП2-3'!J33</f>
        <v>4437.635</v>
      </c>
      <c r="K32" s="83">
        <f>'ППП2-3'!K33</f>
        <v>4437.635</v>
      </c>
      <c r="L32" s="83">
        <f>I32+J32+K32</f>
        <v>13320.205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48" customFormat="1" ht="31.5">
      <c r="A33" s="215" t="s">
        <v>70</v>
      </c>
      <c r="B33" s="215" t="s">
        <v>73</v>
      </c>
      <c r="C33" s="59" t="s">
        <v>13</v>
      </c>
      <c r="D33" s="147" t="s">
        <v>28</v>
      </c>
      <c r="E33" s="147" t="s">
        <v>28</v>
      </c>
      <c r="F33" s="147" t="s">
        <v>123</v>
      </c>
      <c r="G33" s="147" t="s">
        <v>28</v>
      </c>
      <c r="H33" s="108">
        <f>H35+H36</f>
        <v>88184.09600000002</v>
      </c>
      <c r="I33" s="108">
        <f>I35+I36</f>
        <v>102295.589</v>
      </c>
      <c r="J33" s="108">
        <f>J35+J36</f>
        <v>86717.91399999999</v>
      </c>
      <c r="K33" s="108">
        <f>K35+K36</f>
        <v>86722.981</v>
      </c>
      <c r="L33" s="108">
        <f>I33+J33+K33</f>
        <v>275736.484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 ht="15.75">
      <c r="A34" s="298"/>
      <c r="B34" s="216"/>
      <c r="C34" s="142" t="s">
        <v>12</v>
      </c>
      <c r="D34" s="140"/>
      <c r="E34" s="140"/>
      <c r="F34" s="140"/>
      <c r="G34" s="140"/>
      <c r="H34" s="140"/>
      <c r="I34" s="196"/>
      <c r="J34" s="83"/>
      <c r="K34" s="83"/>
      <c r="L34" s="8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47.25">
      <c r="A35" s="298"/>
      <c r="B35" s="216"/>
      <c r="C35" s="41" t="s">
        <v>36</v>
      </c>
      <c r="D35" s="53">
        <v>244</v>
      </c>
      <c r="E35" s="53" t="s">
        <v>28</v>
      </c>
      <c r="F35" s="53" t="s">
        <v>123</v>
      </c>
      <c r="G35" s="53" t="s">
        <v>28</v>
      </c>
      <c r="H35" s="83">
        <f>'ППП2-4'!H131</f>
        <v>88184.09600000002</v>
      </c>
      <c r="I35" s="83">
        <f>'ППП2-4'!I15</f>
        <v>102295.589</v>
      </c>
      <c r="J35" s="83">
        <f>'ППП2-4'!J15</f>
        <v>86717.91399999999</v>
      </c>
      <c r="K35" s="83">
        <f>'ППП2-4'!K15</f>
        <v>86722.981</v>
      </c>
      <c r="L35" s="83">
        <f>I35+J35+K35</f>
        <v>275736.484</v>
      </c>
      <c r="M35" s="1"/>
      <c r="N35" s="1" t="s">
        <v>279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3">
      <c r="A36" s="299"/>
      <c r="B36" s="217"/>
      <c r="C36" s="41" t="s">
        <v>62</v>
      </c>
      <c r="D36" s="53">
        <v>247</v>
      </c>
      <c r="E36" s="53" t="s">
        <v>38</v>
      </c>
      <c r="F36" s="53" t="s">
        <v>120</v>
      </c>
      <c r="G36" s="53" t="s">
        <v>61</v>
      </c>
      <c r="H36" s="83">
        <f>'ППП2-4'!H130</f>
        <v>0</v>
      </c>
      <c r="I36" s="83">
        <f>'ППП2-4'!I130</f>
        <v>0</v>
      </c>
      <c r="J36" s="83">
        <f aca="true" t="shared" si="0" ref="J36:J45">I36</f>
        <v>0</v>
      </c>
      <c r="K36" s="83">
        <f aca="true" t="shared" si="1" ref="K36:K47">J36</f>
        <v>0</v>
      </c>
      <c r="L36" s="83">
        <f aca="true" t="shared" si="2" ref="L36:L45">SUM(I36:K36)</f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31.5" customHeight="1" hidden="1">
      <c r="A37" s="215" t="s">
        <v>15</v>
      </c>
      <c r="B37" s="215"/>
      <c r="C37" s="55" t="s">
        <v>13</v>
      </c>
      <c r="D37" s="53"/>
      <c r="E37" s="53"/>
      <c r="F37" s="53"/>
      <c r="G37" s="53"/>
      <c r="H37" s="54"/>
      <c r="I37" s="54"/>
      <c r="J37" s="83">
        <f t="shared" si="0"/>
        <v>0</v>
      </c>
      <c r="K37" s="83">
        <f t="shared" si="1"/>
        <v>0</v>
      </c>
      <c r="L37" s="83">
        <f t="shared" si="2"/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5.75" hidden="1">
      <c r="A38" s="300"/>
      <c r="B38" s="298"/>
      <c r="C38" s="142" t="s">
        <v>12</v>
      </c>
      <c r="D38" s="140"/>
      <c r="E38" s="140"/>
      <c r="F38" s="140"/>
      <c r="G38" s="140"/>
      <c r="H38" s="106"/>
      <c r="I38" s="106"/>
      <c r="J38" s="83">
        <f t="shared" si="0"/>
        <v>0</v>
      </c>
      <c r="K38" s="83">
        <f t="shared" si="1"/>
        <v>0</v>
      </c>
      <c r="L38" s="83">
        <f t="shared" si="2"/>
        <v>0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5.75" hidden="1">
      <c r="A39" s="300"/>
      <c r="B39" s="298"/>
      <c r="C39" s="55"/>
      <c r="D39" s="53"/>
      <c r="E39" s="53" t="s">
        <v>28</v>
      </c>
      <c r="F39" s="53" t="s">
        <v>28</v>
      </c>
      <c r="G39" s="53" t="s">
        <v>28</v>
      </c>
      <c r="H39" s="54"/>
      <c r="I39" s="54"/>
      <c r="J39" s="83">
        <f t="shared" si="0"/>
        <v>0</v>
      </c>
      <c r="K39" s="83">
        <f t="shared" si="1"/>
        <v>0</v>
      </c>
      <c r="L39" s="83">
        <f t="shared" si="2"/>
        <v>0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5.75" hidden="1">
      <c r="A40" s="301"/>
      <c r="B40" s="299"/>
      <c r="C40" s="55"/>
      <c r="D40" s="53"/>
      <c r="E40" s="53" t="s">
        <v>28</v>
      </c>
      <c r="F40" s="53" t="s">
        <v>28</v>
      </c>
      <c r="G40" s="53" t="s">
        <v>28</v>
      </c>
      <c r="H40" s="54"/>
      <c r="I40" s="54"/>
      <c r="J40" s="83">
        <f t="shared" si="0"/>
        <v>0</v>
      </c>
      <c r="K40" s="83">
        <f t="shared" si="1"/>
        <v>0</v>
      </c>
      <c r="L40" s="83">
        <f t="shared" si="2"/>
        <v>0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31.5" customHeight="1" hidden="1">
      <c r="A41" s="215" t="s">
        <v>16</v>
      </c>
      <c r="B41" s="215"/>
      <c r="C41" s="143" t="s">
        <v>13</v>
      </c>
      <c r="D41" s="141"/>
      <c r="E41" s="141"/>
      <c r="F41" s="141"/>
      <c r="G41" s="141"/>
      <c r="H41" s="107"/>
      <c r="I41" s="107"/>
      <c r="J41" s="83">
        <f t="shared" si="0"/>
        <v>0</v>
      </c>
      <c r="K41" s="83">
        <f t="shared" si="1"/>
        <v>0</v>
      </c>
      <c r="L41" s="83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hidden="1">
      <c r="A42" s="298"/>
      <c r="B42" s="298"/>
      <c r="C42" s="55" t="s">
        <v>12</v>
      </c>
      <c r="D42" s="53"/>
      <c r="E42" s="53"/>
      <c r="F42" s="53"/>
      <c r="G42" s="53"/>
      <c r="H42" s="54"/>
      <c r="I42" s="54"/>
      <c r="J42" s="83">
        <f t="shared" si="0"/>
        <v>0</v>
      </c>
      <c r="K42" s="83">
        <f t="shared" si="1"/>
        <v>0</v>
      </c>
      <c r="L42" s="83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hidden="1">
      <c r="A43" s="298"/>
      <c r="B43" s="298"/>
      <c r="C43" s="55"/>
      <c r="D43" s="53"/>
      <c r="E43" s="53" t="s">
        <v>28</v>
      </c>
      <c r="F43" s="53" t="s">
        <v>28</v>
      </c>
      <c r="G43" s="53" t="s">
        <v>28</v>
      </c>
      <c r="H43" s="54"/>
      <c r="I43" s="54"/>
      <c r="J43" s="83">
        <f t="shared" si="0"/>
        <v>0</v>
      </c>
      <c r="K43" s="83">
        <f t="shared" si="1"/>
        <v>0</v>
      </c>
      <c r="L43" s="8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hidden="1">
      <c r="A44" s="299"/>
      <c r="B44" s="299"/>
      <c r="C44" s="55"/>
      <c r="D44" s="53"/>
      <c r="E44" s="53" t="s">
        <v>28</v>
      </c>
      <c r="F44" s="53" t="s">
        <v>28</v>
      </c>
      <c r="G44" s="53" t="s">
        <v>28</v>
      </c>
      <c r="H44" s="54"/>
      <c r="I44" s="54"/>
      <c r="J44" s="83">
        <f t="shared" si="0"/>
        <v>0</v>
      </c>
      <c r="K44" s="83">
        <f t="shared" si="1"/>
        <v>0</v>
      </c>
      <c r="L44" s="83">
        <f t="shared" si="2"/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148" customFormat="1" ht="47.25">
      <c r="A45" s="221" t="s">
        <v>155</v>
      </c>
      <c r="B45" s="221" t="s">
        <v>140</v>
      </c>
      <c r="C45" s="59" t="s">
        <v>11</v>
      </c>
      <c r="D45" s="147" t="s">
        <v>28</v>
      </c>
      <c r="E45" s="147" t="s">
        <v>28</v>
      </c>
      <c r="F45" s="149" t="s">
        <v>137</v>
      </c>
      <c r="G45" s="147" t="s">
        <v>28</v>
      </c>
      <c r="H45" s="108">
        <f>H47</f>
        <v>0</v>
      </c>
      <c r="I45" s="108">
        <f>I47</f>
        <v>0</v>
      </c>
      <c r="J45" s="108">
        <f t="shared" si="0"/>
        <v>0</v>
      </c>
      <c r="K45" s="108">
        <f t="shared" si="1"/>
        <v>0</v>
      </c>
      <c r="L45" s="108">
        <f t="shared" si="2"/>
        <v>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spans="1:32" ht="15.75">
      <c r="A46" s="221"/>
      <c r="B46" s="221"/>
      <c r="C46" s="55" t="s">
        <v>12</v>
      </c>
      <c r="D46" s="53"/>
      <c r="E46" s="53"/>
      <c r="F46" s="53"/>
      <c r="G46" s="53"/>
      <c r="H46" s="83"/>
      <c r="I46" s="83"/>
      <c r="J46" s="83"/>
      <c r="K46" s="83"/>
      <c r="L46" s="8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68.25" customHeight="1">
      <c r="A47" s="221"/>
      <c r="B47" s="221"/>
      <c r="C47" s="41" t="s">
        <v>36</v>
      </c>
      <c r="D47" s="53" t="s">
        <v>37</v>
      </c>
      <c r="E47" s="53" t="s">
        <v>136</v>
      </c>
      <c r="F47" s="145" t="s">
        <v>137</v>
      </c>
      <c r="G47" s="53" t="s">
        <v>61</v>
      </c>
      <c r="H47" s="83">
        <v>0</v>
      </c>
      <c r="I47" s="83">
        <v>0</v>
      </c>
      <c r="J47" s="83">
        <f>I47</f>
        <v>0</v>
      </c>
      <c r="K47" s="83">
        <f t="shared" si="1"/>
        <v>0</v>
      </c>
      <c r="L47" s="83">
        <f>SUM(I47:K47)</f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154" customFormat="1" ht="15.75">
      <c r="A48" s="151"/>
      <c r="B48" s="151"/>
      <c r="C48" s="152"/>
      <c r="D48" s="153"/>
      <c r="E48" s="153"/>
      <c r="F48" s="153"/>
      <c r="G48" s="153"/>
      <c r="H48" s="153"/>
      <c r="I48" s="153"/>
      <c r="J48" s="153"/>
      <c r="K48" s="153"/>
      <c r="L48" s="153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s="154" customFormat="1" ht="15.75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</row>
    <row r="50" spans="1:32" s="154" customFormat="1" ht="15.75" customHeight="1" hidden="1">
      <c r="A50" s="155" t="s">
        <v>74</v>
      </c>
      <c r="B50" s="150"/>
      <c r="C50" s="150"/>
      <c r="D50" s="150"/>
      <c r="E50" s="156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s="154" customFormat="1" ht="15.75" customHeight="1" hidden="1">
      <c r="A51" s="150"/>
      <c r="B51" s="150"/>
      <c r="C51" s="150"/>
      <c r="D51" s="150"/>
      <c r="E51" s="150" t="s">
        <v>30</v>
      </c>
      <c r="F51" s="150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s="154" customFormat="1" ht="15.75">
      <c r="A52" s="297"/>
      <c r="B52" s="297"/>
      <c r="C52" s="297"/>
      <c r="D52" s="150"/>
      <c r="E52" s="150"/>
      <c r="F52" s="150"/>
      <c r="G52" s="150"/>
      <c r="H52" s="150">
        <f>H19-ПП6!D19</f>
        <v>0</v>
      </c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</row>
    <row r="53" spans="1:32" s="154" customFormat="1" ht="15.75">
      <c r="A53" s="150"/>
      <c r="B53" s="150"/>
      <c r="C53" s="150"/>
      <c r="D53" s="150"/>
      <c r="E53" s="150"/>
      <c r="F53" s="150"/>
      <c r="G53" s="150"/>
      <c r="H53" s="89">
        <f>H24-ПП6!D44</f>
        <v>0</v>
      </c>
      <c r="I53" s="89"/>
      <c r="J53" s="89"/>
      <c r="K53" s="89"/>
      <c r="L53" s="89"/>
      <c r="M53" s="150"/>
      <c r="N53" s="150"/>
      <c r="O53" s="150"/>
      <c r="P53" s="150"/>
      <c r="Q53" s="150"/>
      <c r="R53" s="15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</row>
    <row r="54" spans="1:32" s="154" customFormat="1" ht="15.75">
      <c r="A54" s="150"/>
      <c r="B54" s="150"/>
      <c r="C54" s="150"/>
      <c r="D54" s="150"/>
      <c r="E54" s="150"/>
      <c r="F54" s="150"/>
      <c r="G54" s="150"/>
      <c r="H54" s="89">
        <f>H27-ПП6!D52</f>
        <v>0</v>
      </c>
      <c r="I54" s="89"/>
      <c r="J54" s="89"/>
      <c r="K54" s="89"/>
      <c r="L54" s="89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s="154" customFormat="1" ht="15.75">
      <c r="A55" s="150"/>
      <c r="B55" s="150"/>
      <c r="C55" s="150"/>
      <c r="D55" s="150"/>
      <c r="E55" s="150"/>
      <c r="F55" s="150"/>
      <c r="G55" s="150"/>
      <c r="H55" s="89">
        <f>H30-ПП6!D60</f>
        <v>0</v>
      </c>
      <c r="I55" s="89"/>
      <c r="J55" s="89"/>
      <c r="K55" s="89"/>
      <c r="L55" s="89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s="154" customFormat="1" ht="15.75" customHeight="1">
      <c r="A56" s="297"/>
      <c r="B56" s="297"/>
      <c r="C56" s="297"/>
      <c r="D56" s="150"/>
      <c r="E56" s="150"/>
      <c r="F56" s="150"/>
      <c r="G56" s="150"/>
      <c r="H56" s="89">
        <f>ПП5!H33-ПП6!D68</f>
        <v>0</v>
      </c>
      <c r="I56" s="89"/>
      <c r="J56" s="89"/>
      <c r="K56" s="89"/>
      <c r="L56" s="89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</row>
    <row r="57" spans="1:32" s="154" customFormat="1" ht="15.75">
      <c r="A57" s="297"/>
      <c r="B57" s="297"/>
      <c r="C57" s="297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</row>
    <row r="58" spans="1:32" s="154" customFormat="1" ht="15.75">
      <c r="A58" s="157"/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s="154" customFormat="1" ht="15.75">
      <c r="A59" s="150"/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</row>
    <row r="60" spans="1:32" s="154" customFormat="1" ht="15.75">
      <c r="A60" s="150"/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s="154" customFormat="1" ht="15.75">
      <c r="A61" s="150"/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s="154" customFormat="1" ht="15.75">
      <c r="A62" s="150"/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</row>
    <row r="63" spans="1:32" s="154" customFormat="1" ht="15.75">
      <c r="A63" s="150"/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</row>
    <row r="64" spans="1:32" s="154" customFormat="1" ht="15.75">
      <c r="A64" s="150"/>
      <c r="B64" s="150"/>
      <c r="C64" s="150"/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</row>
    <row r="65" spans="1:32" s="154" customFormat="1" ht="15.75">
      <c r="A65" s="150"/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</row>
    <row r="66" spans="1:32" s="154" customFormat="1" ht="15.75">
      <c r="A66" s="150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</row>
    <row r="67" spans="1:32" s="154" customFormat="1" ht="15.75">
      <c r="A67" s="150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</row>
    <row r="68" spans="1:32" s="154" customFormat="1" ht="15.75">
      <c r="A68" s="150"/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</row>
    <row r="69" spans="1:32" s="154" customFormat="1" ht="15.75">
      <c r="A69" s="150"/>
      <c r="B69" s="150"/>
      <c r="C69" s="15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</row>
    <row r="70" spans="1:32" s="154" customFormat="1" ht="15.75">
      <c r="A70" s="150"/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</row>
    <row r="71" spans="1:32" s="154" customFormat="1" ht="15.75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</row>
    <row r="72" spans="1:32" s="154" customFormat="1" ht="15.75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</row>
    <row r="73" spans="1:32" s="154" customFormat="1" ht="15.75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</row>
    <row r="74" spans="1:32" s="154" customFormat="1" ht="15.75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</row>
    <row r="75" spans="1:32" s="154" customFormat="1" ht="15.75">
      <c r="A75" s="150"/>
      <c r="B75" s="150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</row>
    <row r="76" spans="1:32" s="154" customFormat="1" ht="15.75">
      <c r="A76" s="150"/>
      <c r="B76" s="150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</row>
    <row r="77" spans="1:32" s="154" customFormat="1" ht="15.75">
      <c r="A77" s="150"/>
      <c r="B77" s="150"/>
      <c r="C77" s="15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</row>
    <row r="78" spans="1:32" s="154" customFormat="1" ht="15.75">
      <c r="A78" s="150"/>
      <c r="B78" s="150"/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</row>
    <row r="79" spans="1:32" s="154" customFormat="1" ht="15.75">
      <c r="A79" s="150"/>
      <c r="B79" s="150"/>
      <c r="C79" s="15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</row>
    <row r="80" spans="1:32" s="154" customFormat="1" ht="15.75">
      <c r="A80" s="150"/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</row>
    <row r="81" spans="1:32" s="154" customFormat="1" ht="15.7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</row>
    <row r="82" spans="1:32" s="154" customFormat="1" ht="15.7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</row>
    <row r="83" spans="1:32" s="154" customFormat="1" ht="15.7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</row>
    <row r="84" spans="1:32" s="154" customFormat="1" ht="15.7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0"/>
      <c r="Z84" s="150"/>
      <c r="AA84" s="150"/>
      <c r="AB84" s="150"/>
      <c r="AC84" s="150"/>
      <c r="AD84" s="150"/>
      <c r="AE84" s="150"/>
      <c r="AF84" s="150"/>
    </row>
    <row r="85" spans="1:32" ht="15.75">
      <c r="A85" s="1"/>
      <c r="B85" s="1"/>
      <c r="C85" s="1"/>
      <c r="D85" s="24"/>
      <c r="E85" s="24"/>
      <c r="F85" s="24"/>
      <c r="G85" s="24"/>
      <c r="H85" s="24"/>
      <c r="I85" s="29"/>
      <c r="J85" s="29"/>
      <c r="K85" s="29"/>
      <c r="L85" s="2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>
      <c r="A86" s="1"/>
      <c r="B86" s="1"/>
      <c r="C86" s="1"/>
      <c r="D86" s="24"/>
      <c r="E86" s="24"/>
      <c r="F86" s="24"/>
      <c r="G86" s="24"/>
      <c r="H86" s="24"/>
      <c r="I86" s="29"/>
      <c r="J86" s="29"/>
      <c r="K86" s="29"/>
      <c r="L86" s="2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>
      <c r="A87" s="1"/>
      <c r="B87" s="1"/>
      <c r="C87" s="1"/>
      <c r="D87" s="24"/>
      <c r="E87" s="24"/>
      <c r="F87" s="24"/>
      <c r="G87" s="24"/>
      <c r="H87" s="24"/>
      <c r="I87" s="29"/>
      <c r="J87" s="29"/>
      <c r="K87" s="29"/>
      <c r="L87" s="29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>
      <c r="A88" s="1"/>
      <c r="B88" s="1"/>
      <c r="C88" s="1"/>
      <c r="D88" s="24"/>
      <c r="E88" s="24"/>
      <c r="F88" s="24"/>
      <c r="G88" s="24"/>
      <c r="H88" s="24"/>
      <c r="I88" s="29"/>
      <c r="J88" s="29"/>
      <c r="K88" s="29"/>
      <c r="L88" s="29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</sheetData>
  <sheetProtection/>
  <mergeCells count="36">
    <mergeCell ref="I7:L8"/>
    <mergeCell ref="A19:A23"/>
    <mergeCell ref="A24:A26"/>
    <mergeCell ref="B19:B23"/>
    <mergeCell ref="B27:B29"/>
    <mergeCell ref="B37:B40"/>
    <mergeCell ref="A17:A18"/>
    <mergeCell ref="B17:B18"/>
    <mergeCell ref="C17:C18"/>
    <mergeCell ref="D17:G17"/>
    <mergeCell ref="I1:L1"/>
    <mergeCell ref="I2:L2"/>
    <mergeCell ref="I3:L3"/>
    <mergeCell ref="I4:L4"/>
    <mergeCell ref="I6:L6"/>
    <mergeCell ref="I17:L17"/>
    <mergeCell ref="A10:L10"/>
    <mergeCell ref="A12:L12"/>
    <mergeCell ref="A13:L13"/>
    <mergeCell ref="A14:L14"/>
    <mergeCell ref="A45:A47"/>
    <mergeCell ref="B45:B47"/>
    <mergeCell ref="A27:A29"/>
    <mergeCell ref="A30:A32"/>
    <mergeCell ref="A37:A40"/>
    <mergeCell ref="A56:C56"/>
    <mergeCell ref="A15:L15"/>
    <mergeCell ref="A11:L11"/>
    <mergeCell ref="A57:C57"/>
    <mergeCell ref="B24:B26"/>
    <mergeCell ref="A33:A36"/>
    <mergeCell ref="A52:C52"/>
    <mergeCell ref="B30:B32"/>
    <mergeCell ref="B33:B36"/>
    <mergeCell ref="A41:A44"/>
    <mergeCell ref="B41:B44"/>
  </mergeCells>
  <printOptions/>
  <pageMargins left="0.2362204724409449" right="0.2362204724409449" top="0.58" bottom="0.21" header="0.59" footer="0.24"/>
  <pageSetup fitToHeight="0" fitToWidth="1" horizontalDpi="600" verticalDpi="600" orientation="landscape" paperSize="9" scale="70" r:id="rId1"/>
  <rowBreaks count="1" manualBreakCount="1">
    <brk id="2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5"/>
  <sheetViews>
    <sheetView tabSelected="1" view="pageBreakPreview" zoomScaleSheetLayoutView="100" workbookViewId="0" topLeftCell="C67">
      <selection activeCell="E4" sqref="E4:H4"/>
    </sheetView>
  </sheetViews>
  <sheetFormatPr defaultColWidth="9.140625" defaultRowHeight="12.75" outlineLevelCol="1"/>
  <cols>
    <col min="1" max="1" width="22.57421875" style="1" customWidth="1"/>
    <col min="2" max="2" width="38.7109375" style="1" customWidth="1"/>
    <col min="3" max="3" width="52.7109375" style="1" customWidth="1"/>
    <col min="4" max="4" width="21.28125" style="29" hidden="1" customWidth="1" outlineLevel="1"/>
    <col min="5" max="5" width="19.57421875" style="29" customWidth="1" collapsed="1"/>
    <col min="6" max="6" width="19.57421875" style="29" customWidth="1"/>
    <col min="7" max="7" width="19.7109375" style="29" customWidth="1"/>
    <col min="8" max="8" width="20.28125" style="29" customWidth="1"/>
    <col min="9" max="9" width="12.7109375" style="1" bestFit="1" customWidth="1"/>
    <col min="10" max="10" width="16.7109375" style="1" customWidth="1"/>
    <col min="11" max="13" width="13.28125" style="1" customWidth="1"/>
    <col min="14" max="16384" width="9.140625" style="1" customWidth="1"/>
  </cols>
  <sheetData>
    <row r="1" spans="4:10" ht="19.5" customHeight="1">
      <c r="D1" s="42"/>
      <c r="E1" s="214" t="s">
        <v>274</v>
      </c>
      <c r="F1" s="214"/>
      <c r="G1" s="214"/>
      <c r="H1" s="214"/>
      <c r="I1" s="6"/>
      <c r="J1" s="6"/>
    </row>
    <row r="2" spans="4:10" ht="19.5" customHeight="1">
      <c r="D2" s="42"/>
      <c r="E2" s="231" t="s">
        <v>282</v>
      </c>
      <c r="F2" s="231"/>
      <c r="G2" s="231"/>
      <c r="H2" s="231"/>
      <c r="I2" s="6"/>
      <c r="J2" s="6"/>
    </row>
    <row r="3" spans="4:10" ht="19.5" customHeight="1">
      <c r="D3" s="42"/>
      <c r="E3" s="231" t="s">
        <v>283</v>
      </c>
      <c r="F3" s="231"/>
      <c r="G3" s="231"/>
      <c r="H3" s="231"/>
      <c r="I3" s="6"/>
      <c r="J3" s="6"/>
    </row>
    <row r="4" spans="4:10" ht="19.5" customHeight="1">
      <c r="D4" s="42"/>
      <c r="E4" s="231" t="s">
        <v>319</v>
      </c>
      <c r="F4" s="231"/>
      <c r="G4" s="231"/>
      <c r="H4" s="231"/>
      <c r="I4" s="6"/>
      <c r="J4" s="6"/>
    </row>
    <row r="5" spans="4:10" ht="19.5" customHeight="1">
      <c r="D5" s="42"/>
      <c r="E5" s="42"/>
      <c r="F5" s="42"/>
      <c r="G5" s="42"/>
      <c r="H5" s="42"/>
      <c r="I5" s="6"/>
      <c r="J5" s="6"/>
    </row>
    <row r="6" spans="4:10" ht="18.75" customHeight="1">
      <c r="D6" s="302" t="s">
        <v>249</v>
      </c>
      <c r="E6" s="302"/>
      <c r="F6" s="302"/>
      <c r="G6" s="302"/>
      <c r="H6" s="302"/>
      <c r="I6" s="6"/>
      <c r="J6" s="6"/>
    </row>
    <row r="7" spans="4:10" ht="21" customHeight="1">
      <c r="D7" s="302" t="s">
        <v>139</v>
      </c>
      <c r="E7" s="302"/>
      <c r="F7" s="302"/>
      <c r="G7" s="302"/>
      <c r="H7" s="302"/>
      <c r="I7" s="6"/>
      <c r="J7" s="6"/>
    </row>
    <row r="8" spans="4:10" ht="17.25" customHeight="1">
      <c r="D8" s="302"/>
      <c r="E8" s="302"/>
      <c r="F8" s="302"/>
      <c r="G8" s="302"/>
      <c r="H8" s="302"/>
      <c r="I8" s="6"/>
      <c r="J8" s="6"/>
    </row>
    <row r="9" spans="4:10" ht="17.25" customHeight="1">
      <c r="D9" s="42"/>
      <c r="E9" s="42"/>
      <c r="F9" s="42"/>
      <c r="G9" s="42"/>
      <c r="H9" s="42"/>
      <c r="I9" s="6"/>
      <c r="J9" s="6"/>
    </row>
    <row r="10" spans="1:8" ht="18.75">
      <c r="A10" s="296" t="s">
        <v>144</v>
      </c>
      <c r="B10" s="296"/>
      <c r="C10" s="296"/>
      <c r="D10" s="296"/>
      <c r="E10" s="296"/>
      <c r="F10" s="296"/>
      <c r="G10" s="296"/>
      <c r="H10" s="296"/>
    </row>
    <row r="11" spans="1:8" ht="24" customHeight="1">
      <c r="A11" s="296" t="s">
        <v>150</v>
      </c>
      <c r="B11" s="296"/>
      <c r="C11" s="296"/>
      <c r="D11" s="296"/>
      <c r="E11" s="296"/>
      <c r="F11" s="296"/>
      <c r="G11" s="296"/>
      <c r="H11" s="296"/>
    </row>
    <row r="12" spans="1:8" ht="24" customHeight="1">
      <c r="A12" s="296" t="s">
        <v>151</v>
      </c>
      <c r="B12" s="296"/>
      <c r="C12" s="296"/>
      <c r="D12" s="296"/>
      <c r="E12" s="296"/>
      <c r="F12" s="296"/>
      <c r="G12" s="296"/>
      <c r="H12" s="296"/>
    </row>
    <row r="13" spans="1:8" ht="24" customHeight="1">
      <c r="A13" s="296" t="s">
        <v>152</v>
      </c>
      <c r="B13" s="296"/>
      <c r="C13" s="296"/>
      <c r="D13" s="296"/>
      <c r="E13" s="296"/>
      <c r="F13" s="296"/>
      <c r="G13" s="296"/>
      <c r="H13" s="296"/>
    </row>
    <row r="14" spans="1:8" ht="24" customHeight="1">
      <c r="A14" s="296" t="s">
        <v>153</v>
      </c>
      <c r="B14" s="296"/>
      <c r="C14" s="296"/>
      <c r="D14" s="296"/>
      <c r="E14" s="296"/>
      <c r="F14" s="296"/>
      <c r="G14" s="296"/>
      <c r="H14" s="296"/>
    </row>
    <row r="15" spans="1:8" ht="14.25" customHeight="1">
      <c r="A15" s="296" t="s">
        <v>154</v>
      </c>
      <c r="B15" s="296"/>
      <c r="C15" s="296"/>
      <c r="D15" s="296"/>
      <c r="E15" s="296"/>
      <c r="F15" s="296"/>
      <c r="G15" s="296"/>
      <c r="H15" s="296"/>
    </row>
    <row r="17" spans="1:8" ht="15.75" customHeight="1">
      <c r="A17" s="247" t="s">
        <v>8</v>
      </c>
      <c r="B17" s="247" t="s">
        <v>9</v>
      </c>
      <c r="C17" s="247" t="s">
        <v>23</v>
      </c>
      <c r="D17" s="309"/>
      <c r="E17" s="309"/>
      <c r="F17" s="309"/>
      <c r="G17" s="309"/>
      <c r="H17" s="309"/>
    </row>
    <row r="18" spans="1:8" ht="31.5">
      <c r="A18" s="247"/>
      <c r="B18" s="247"/>
      <c r="C18" s="247"/>
      <c r="D18" s="28" t="s">
        <v>104</v>
      </c>
      <c r="E18" s="28" t="s">
        <v>141</v>
      </c>
      <c r="F18" s="28" t="s">
        <v>142</v>
      </c>
      <c r="G18" s="28" t="s">
        <v>248</v>
      </c>
      <c r="H18" s="28" t="s">
        <v>275</v>
      </c>
    </row>
    <row r="19" spans="1:17" s="16" customFormat="1" ht="15.75">
      <c r="A19" s="247" t="s">
        <v>10</v>
      </c>
      <c r="B19" s="247" t="s">
        <v>66</v>
      </c>
      <c r="C19" s="18" t="s">
        <v>19</v>
      </c>
      <c r="D19" s="108">
        <f>SUM(D20:D25)</f>
        <v>210561.324</v>
      </c>
      <c r="E19" s="108">
        <f>E26+E32</f>
        <v>224659.51499999998</v>
      </c>
      <c r="F19" s="108">
        <f>F26+F32</f>
        <v>150905.59600000002</v>
      </c>
      <c r="G19" s="108">
        <f>G26+G32</f>
        <v>150904.79200000002</v>
      </c>
      <c r="H19" s="108">
        <f>E19+F19+G19</f>
        <v>526469.903</v>
      </c>
      <c r="I19" s="180"/>
      <c r="J19" s="180"/>
      <c r="K19" s="180"/>
      <c r="L19" s="180"/>
      <c r="M19" s="180"/>
      <c r="N19" s="180"/>
      <c r="O19" s="180"/>
      <c r="P19" s="180"/>
      <c r="Q19" s="180"/>
    </row>
    <row r="20" spans="1:8" ht="15.75">
      <c r="A20" s="247"/>
      <c r="B20" s="247"/>
      <c r="C20" s="7" t="s">
        <v>20</v>
      </c>
      <c r="D20" s="83"/>
      <c r="E20" s="108"/>
      <c r="F20" s="108"/>
      <c r="G20" s="108"/>
      <c r="H20" s="83"/>
    </row>
    <row r="21" spans="1:8" ht="15.75">
      <c r="A21" s="247"/>
      <c r="B21" s="247"/>
      <c r="C21" s="7" t="s">
        <v>21</v>
      </c>
      <c r="D21" s="83">
        <f>D27+D33+D39</f>
        <v>511</v>
      </c>
      <c r="E21" s="83">
        <f aca="true" t="shared" si="0" ref="E21:G23">E27+E33</f>
        <v>527.8</v>
      </c>
      <c r="F21" s="83">
        <f t="shared" si="0"/>
        <v>0</v>
      </c>
      <c r="G21" s="83">
        <f t="shared" si="0"/>
        <v>0</v>
      </c>
      <c r="H21" s="83">
        <f>E21+F21+G21</f>
        <v>527.8</v>
      </c>
    </row>
    <row r="22" spans="1:10" ht="15.75">
      <c r="A22" s="247"/>
      <c r="B22" s="247"/>
      <c r="C22" s="7" t="s">
        <v>26</v>
      </c>
      <c r="D22" s="83">
        <f>D28+D34+D40</f>
        <v>3769.469</v>
      </c>
      <c r="E22" s="83">
        <f t="shared" si="0"/>
        <v>6048.530000000001</v>
      </c>
      <c r="F22" s="83">
        <f t="shared" si="0"/>
        <v>644.7</v>
      </c>
      <c r="G22" s="83">
        <f t="shared" si="0"/>
        <v>644.7</v>
      </c>
      <c r="H22" s="83">
        <f>E22+F22+G22</f>
        <v>7337.93</v>
      </c>
      <c r="J22" s="89"/>
    </row>
    <row r="23" spans="1:9" ht="15.75">
      <c r="A23" s="247"/>
      <c r="B23" s="247"/>
      <c r="C23" s="7" t="s">
        <v>27</v>
      </c>
      <c r="D23" s="83">
        <f>D29+D35+D41</f>
        <v>206280.85499999998</v>
      </c>
      <c r="E23" s="83">
        <f t="shared" si="0"/>
        <v>218083.185</v>
      </c>
      <c r="F23" s="83">
        <f t="shared" si="0"/>
        <v>150260.896</v>
      </c>
      <c r="G23" s="83">
        <f t="shared" si="0"/>
        <v>150260.092</v>
      </c>
      <c r="H23" s="83">
        <f>E23+F23+G23</f>
        <v>518604.173</v>
      </c>
      <c r="I23" s="89"/>
    </row>
    <row r="24" spans="1:10" ht="15.75">
      <c r="A24" s="247"/>
      <c r="B24" s="247"/>
      <c r="C24" s="7" t="s">
        <v>24</v>
      </c>
      <c r="D24" s="83"/>
      <c r="E24" s="83"/>
      <c r="F24" s="83"/>
      <c r="G24" s="83"/>
      <c r="H24" s="108"/>
      <c r="J24" s="89"/>
    </row>
    <row r="25" spans="1:8" ht="15.75">
      <c r="A25" s="247"/>
      <c r="B25" s="247"/>
      <c r="C25" s="7" t="s">
        <v>25</v>
      </c>
      <c r="D25" s="83"/>
      <c r="E25" s="83"/>
      <c r="F25" s="83"/>
      <c r="G25" s="83"/>
      <c r="H25" s="108"/>
    </row>
    <row r="26" spans="1:9" s="16" customFormat="1" ht="15.75">
      <c r="A26" s="247"/>
      <c r="B26" s="247"/>
      <c r="C26" s="18" t="s">
        <v>59</v>
      </c>
      <c r="D26" s="108">
        <f>SUM(D27:D31)</f>
        <v>4337.710999999999</v>
      </c>
      <c r="E26" s="108">
        <f>SUM(E27:E31)</f>
        <v>4444.935</v>
      </c>
      <c r="F26" s="108">
        <f>SUM(F27:F31)</f>
        <v>4437.635</v>
      </c>
      <c r="G26" s="108">
        <f>SUM(G27:G31)</f>
        <v>4437.635</v>
      </c>
      <c r="H26" s="108">
        <f>E26+F26+G26</f>
        <v>13320.205</v>
      </c>
      <c r="I26" s="180"/>
    </row>
    <row r="27" spans="1:8" ht="15.75">
      <c r="A27" s="247"/>
      <c r="B27" s="247"/>
      <c r="C27" s="7" t="s">
        <v>21</v>
      </c>
      <c r="D27" s="83"/>
      <c r="E27" s="83">
        <v>0</v>
      </c>
      <c r="F27" s="83">
        <v>0</v>
      </c>
      <c r="G27" s="83">
        <v>0</v>
      </c>
      <c r="H27" s="108"/>
    </row>
    <row r="28" spans="1:10" ht="15.75">
      <c r="A28" s="247"/>
      <c r="B28" s="247"/>
      <c r="C28" s="7" t="s">
        <v>26</v>
      </c>
      <c r="D28" s="83">
        <f>D64</f>
        <v>308.90000000000003</v>
      </c>
      <c r="E28" s="83">
        <f aca="true" t="shared" si="1" ref="E28:G29">E64</f>
        <v>319.3</v>
      </c>
      <c r="F28" s="83">
        <f t="shared" si="1"/>
        <v>312</v>
      </c>
      <c r="G28" s="83">
        <f t="shared" si="1"/>
        <v>312</v>
      </c>
      <c r="H28" s="83">
        <f>E28+F28+G28</f>
        <v>943.3</v>
      </c>
      <c r="J28" s="89"/>
    </row>
    <row r="29" spans="1:10" ht="15.75">
      <c r="A29" s="247"/>
      <c r="B29" s="247"/>
      <c r="C29" s="7" t="s">
        <v>27</v>
      </c>
      <c r="D29" s="83">
        <f>D65</f>
        <v>4028.8109999999997</v>
      </c>
      <c r="E29" s="83">
        <f t="shared" si="1"/>
        <v>4125.635</v>
      </c>
      <c r="F29" s="83">
        <f t="shared" si="1"/>
        <v>4125.635</v>
      </c>
      <c r="G29" s="83">
        <f t="shared" si="1"/>
        <v>4125.635</v>
      </c>
      <c r="H29" s="83">
        <f>E29+F29+G29</f>
        <v>12376.905</v>
      </c>
      <c r="J29" s="89"/>
    </row>
    <row r="30" spans="1:8" ht="15.75">
      <c r="A30" s="247"/>
      <c r="B30" s="247"/>
      <c r="C30" s="7" t="s">
        <v>24</v>
      </c>
      <c r="D30" s="83"/>
      <c r="E30" s="83"/>
      <c r="F30" s="83"/>
      <c r="G30" s="83"/>
      <c r="H30" s="108"/>
    </row>
    <row r="31" spans="1:8" ht="15.75">
      <c r="A31" s="247"/>
      <c r="B31" s="247"/>
      <c r="C31" s="7" t="s">
        <v>25</v>
      </c>
      <c r="D31" s="83"/>
      <c r="E31" s="108"/>
      <c r="F31" s="108"/>
      <c r="G31" s="108"/>
      <c r="H31" s="108"/>
    </row>
    <row r="32" spans="1:10" s="16" customFormat="1" ht="31.5">
      <c r="A32" s="247"/>
      <c r="B32" s="247"/>
      <c r="C32" s="18" t="s">
        <v>36</v>
      </c>
      <c r="D32" s="108">
        <f>SUM(D33:D37)</f>
        <v>206223.61299999998</v>
      </c>
      <c r="E32" s="108">
        <f>SUM(E33:E37)</f>
        <v>220214.58</v>
      </c>
      <c r="F32" s="108">
        <f>SUM(F33:F37)</f>
        <v>146467.961</v>
      </c>
      <c r="G32" s="108">
        <f>SUM(G33:G37)</f>
        <v>146467.157</v>
      </c>
      <c r="H32" s="108">
        <f>E32+F32+G32</f>
        <v>513149.698</v>
      </c>
      <c r="I32" s="180"/>
      <c r="J32" s="180"/>
    </row>
    <row r="33" spans="1:10" ht="15.75">
      <c r="A33" s="247"/>
      <c r="B33" s="247"/>
      <c r="C33" s="7" t="s">
        <v>21</v>
      </c>
      <c r="D33" s="83">
        <f>D47+D55+D71</f>
        <v>511</v>
      </c>
      <c r="E33" s="83">
        <f>E47+E71</f>
        <v>527.8</v>
      </c>
      <c r="F33" s="83">
        <f>F47+F71</f>
        <v>0</v>
      </c>
      <c r="G33" s="83">
        <f>G47+G71</f>
        <v>0</v>
      </c>
      <c r="H33" s="83">
        <f>E33+F33+G33</f>
        <v>527.8</v>
      </c>
      <c r="I33" s="89"/>
      <c r="J33" s="89"/>
    </row>
    <row r="34" spans="1:8" ht="15.75">
      <c r="A34" s="247"/>
      <c r="B34" s="247"/>
      <c r="C34" s="7" t="s">
        <v>26</v>
      </c>
      <c r="D34" s="83">
        <f>D48+D56+D72</f>
        <v>3460.569</v>
      </c>
      <c r="E34" s="83">
        <f aca="true" t="shared" si="2" ref="E34:G35">E48+E56+E72</f>
        <v>5729.2300000000005</v>
      </c>
      <c r="F34" s="83">
        <f t="shared" si="2"/>
        <v>332.7</v>
      </c>
      <c r="G34" s="83">
        <f t="shared" si="2"/>
        <v>332.7</v>
      </c>
      <c r="H34" s="83">
        <f>E34+F34+G34</f>
        <v>6394.63</v>
      </c>
    </row>
    <row r="35" spans="1:8" ht="15.75">
      <c r="A35" s="247"/>
      <c r="B35" s="247"/>
      <c r="C35" s="7" t="s">
        <v>27</v>
      </c>
      <c r="D35" s="83">
        <f>D49+D57+D73</f>
        <v>202252.044</v>
      </c>
      <c r="E35" s="83">
        <f t="shared" si="2"/>
        <v>213957.55</v>
      </c>
      <c r="F35" s="83">
        <f t="shared" si="2"/>
        <v>146135.261</v>
      </c>
      <c r="G35" s="83">
        <f t="shared" si="2"/>
        <v>146134.457</v>
      </c>
      <c r="H35" s="83">
        <f>E35+F35+G35</f>
        <v>506227.268</v>
      </c>
    </row>
    <row r="36" spans="1:13" ht="15.75">
      <c r="A36" s="247"/>
      <c r="B36" s="247"/>
      <c r="C36" s="7" t="s">
        <v>24</v>
      </c>
      <c r="D36" s="83"/>
      <c r="E36" s="83"/>
      <c r="F36" s="83"/>
      <c r="G36" s="83"/>
      <c r="H36" s="108"/>
      <c r="K36" s="89"/>
      <c r="L36" s="89"/>
      <c r="M36" s="89"/>
    </row>
    <row r="37" spans="1:8" ht="15.75">
      <c r="A37" s="247"/>
      <c r="B37" s="247"/>
      <c r="C37" s="7" t="s">
        <v>25</v>
      </c>
      <c r="D37" s="83"/>
      <c r="E37" s="108"/>
      <c r="F37" s="108"/>
      <c r="G37" s="108"/>
      <c r="H37" s="108"/>
    </row>
    <row r="38" spans="1:11" s="16" customFormat="1" ht="31.5">
      <c r="A38" s="247"/>
      <c r="B38" s="247"/>
      <c r="C38" s="18" t="s">
        <v>62</v>
      </c>
      <c r="D38" s="108">
        <f>SUM(D39:D43)</f>
        <v>0</v>
      </c>
      <c r="E38" s="108">
        <f>D38</f>
        <v>0</v>
      </c>
      <c r="F38" s="108">
        <f>E38</f>
        <v>0</v>
      </c>
      <c r="G38" s="108">
        <f>E38</f>
        <v>0</v>
      </c>
      <c r="H38" s="108">
        <f>SUM(D38:G38)</f>
        <v>0</v>
      </c>
      <c r="K38" s="180"/>
    </row>
    <row r="39" spans="1:8" ht="15.75">
      <c r="A39" s="247"/>
      <c r="B39" s="247"/>
      <c r="C39" s="7" t="s">
        <v>21</v>
      </c>
      <c r="D39" s="83"/>
      <c r="E39" s="108"/>
      <c r="F39" s="108"/>
      <c r="G39" s="108"/>
      <c r="H39" s="108"/>
    </row>
    <row r="40" spans="1:8" ht="15.75">
      <c r="A40" s="247"/>
      <c r="B40" s="247"/>
      <c r="C40" s="7" t="s">
        <v>26</v>
      </c>
      <c r="D40" s="83"/>
      <c r="E40" s="108"/>
      <c r="F40" s="108"/>
      <c r="G40" s="108"/>
      <c r="H40" s="108"/>
    </row>
    <row r="41" spans="1:8" ht="15.75">
      <c r="A41" s="247"/>
      <c r="B41" s="247"/>
      <c r="C41" s="7" t="s">
        <v>27</v>
      </c>
      <c r="D41" s="83">
        <f>D79</f>
        <v>0</v>
      </c>
      <c r="E41" s="83">
        <f>D41</f>
        <v>0</v>
      </c>
      <c r="F41" s="83">
        <f>E41</f>
        <v>0</v>
      </c>
      <c r="G41" s="83">
        <f>E41</f>
        <v>0</v>
      </c>
      <c r="H41" s="108">
        <f>SUM(D41:G41)</f>
        <v>0</v>
      </c>
    </row>
    <row r="42" spans="1:8" ht="15.75">
      <c r="A42" s="247"/>
      <c r="B42" s="247"/>
      <c r="C42" s="7" t="s">
        <v>24</v>
      </c>
      <c r="D42" s="83"/>
      <c r="E42" s="108"/>
      <c r="F42" s="108"/>
      <c r="G42" s="108"/>
      <c r="H42" s="108"/>
    </row>
    <row r="43" spans="1:8" ht="15.75">
      <c r="A43" s="247"/>
      <c r="B43" s="247"/>
      <c r="C43" s="7" t="s">
        <v>25</v>
      </c>
      <c r="D43" s="83"/>
      <c r="E43" s="108"/>
      <c r="F43" s="108"/>
      <c r="G43" s="108"/>
      <c r="H43" s="108"/>
    </row>
    <row r="44" spans="1:9" ht="15.75">
      <c r="A44" s="215" t="s">
        <v>18</v>
      </c>
      <c r="B44" s="215" t="s">
        <v>67</v>
      </c>
      <c r="C44" s="59" t="s">
        <v>19</v>
      </c>
      <c r="D44" s="108">
        <f>D46</f>
        <v>50749.617</v>
      </c>
      <c r="E44" s="108">
        <f>E46</f>
        <v>51668.831</v>
      </c>
      <c r="F44" s="108">
        <f>F46</f>
        <v>29299.997000000007</v>
      </c>
      <c r="G44" s="108">
        <f>G46</f>
        <v>29308.691000000006</v>
      </c>
      <c r="H44" s="108">
        <f>SUM(E44:G44)</f>
        <v>110277.51900000001</v>
      </c>
      <c r="I44" s="89"/>
    </row>
    <row r="45" spans="1:8" ht="15.75">
      <c r="A45" s="216"/>
      <c r="B45" s="216"/>
      <c r="C45" s="55" t="s">
        <v>20</v>
      </c>
      <c r="D45" s="83"/>
      <c r="E45" s="108"/>
      <c r="F45" s="108"/>
      <c r="G45" s="108"/>
      <c r="H45" s="108"/>
    </row>
    <row r="46" spans="1:8" ht="31.5">
      <c r="A46" s="216"/>
      <c r="B46" s="216"/>
      <c r="C46" s="59" t="s">
        <v>36</v>
      </c>
      <c r="D46" s="108">
        <f>SUM(D47:D51)</f>
        <v>50749.617</v>
      </c>
      <c r="E46" s="108">
        <f>SUM(E47:E49)</f>
        <v>51668.831</v>
      </c>
      <c r="F46" s="108">
        <f>SUM(F47:F49)</f>
        <v>29299.997000000007</v>
      </c>
      <c r="G46" s="108">
        <f>SUM(G47:G49)</f>
        <v>29308.691000000006</v>
      </c>
      <c r="H46" s="108">
        <f>SUM(E46:G46)</f>
        <v>110277.51900000001</v>
      </c>
    </row>
    <row r="47" spans="1:8" ht="15.75">
      <c r="A47" s="216"/>
      <c r="B47" s="216"/>
      <c r="C47" s="55" t="s">
        <v>21</v>
      </c>
      <c r="D47" s="83">
        <f>'ППП2-1'!H40</f>
        <v>18.5</v>
      </c>
      <c r="E47" s="83">
        <f>'ППП2-1'!I40</f>
        <v>17.8</v>
      </c>
      <c r="F47" s="83">
        <f>'ППП2-1'!J40</f>
        <v>0</v>
      </c>
      <c r="G47" s="83">
        <f>'ППП2-1'!K40</f>
        <v>0</v>
      </c>
      <c r="H47" s="83">
        <f>'ППП2-1'!L40</f>
        <v>17.8</v>
      </c>
    </row>
    <row r="48" spans="1:8" ht="15.75">
      <c r="A48" s="216"/>
      <c r="B48" s="216"/>
      <c r="C48" s="55" t="s">
        <v>26</v>
      </c>
      <c r="D48" s="83">
        <f>'ППП2-1'!H52</f>
        <v>331.6</v>
      </c>
      <c r="E48" s="83">
        <f>'ППП2-1'!I49+'ППП2-1'!I52</f>
        <v>331.6</v>
      </c>
      <c r="F48" s="83">
        <f>'ППП2-1'!J49+'ППП2-1'!J52</f>
        <v>0</v>
      </c>
      <c r="G48" s="83">
        <f>'ППП2-1'!K49+'ППП2-1'!K52</f>
        <v>0</v>
      </c>
      <c r="H48" s="83">
        <f>'ППП2-1'!L52</f>
        <v>47.043</v>
      </c>
    </row>
    <row r="49" spans="1:8" ht="15.75">
      <c r="A49" s="216"/>
      <c r="B49" s="216"/>
      <c r="C49" s="55" t="s">
        <v>27</v>
      </c>
      <c r="D49" s="83">
        <f>'ППП2-1'!H34+'ППП2-1'!H36+'ППП2-1'!H38+'ППП2-1'!H47+'ППП2-1'!H57+'ППП2-1'!H64+'ППП2-1'!H66+'ППП2-1'!H68+'ППП2-1'!H70</f>
        <v>50399.517</v>
      </c>
      <c r="E49" s="83">
        <f>'ППП2-1'!I34+'ППП2-1'!I36+'ППП2-1'!I38+'ППП2-1'!I47+'ППП2-1'!I57+'ППП2-1'!I64+'ППП2-1'!I66+'ППП2-1'!I68+'ППП2-1'!I70</f>
        <v>51319.431</v>
      </c>
      <c r="F49" s="83">
        <f>'ППП2-1'!J34+'ППП2-1'!J36+'ППП2-1'!J38+'ППП2-1'!J47+'ППП2-1'!J57+'ППП2-1'!J64+'ППП2-1'!J66+'ППП2-1'!J68+'ППП2-1'!J70</f>
        <v>29299.997000000007</v>
      </c>
      <c r="G49" s="83">
        <f>'ППП2-1'!K34+'ППП2-1'!K36+'ППП2-1'!K38+'ППП2-1'!K47+'ППП2-1'!K57+'ППП2-1'!K64+'ППП2-1'!K66+'ППП2-1'!K68+'ППП2-1'!K70</f>
        <v>29308.691000000006</v>
      </c>
      <c r="H49" s="83">
        <f>'ППП2-1'!L34+'ППП2-1'!L36+'ППП2-1'!L38+'ППП2-1'!L47+'ППП2-1'!L57+'ППП2-1'!L64+'ППП2-1'!L66+'ППП2-1'!L68+'ППП2-1'!L70</f>
        <v>109928.119</v>
      </c>
    </row>
    <row r="50" spans="1:8" ht="15.75">
      <c r="A50" s="216"/>
      <c r="B50" s="216"/>
      <c r="C50" s="55" t="s">
        <v>29</v>
      </c>
      <c r="D50" s="83"/>
      <c r="E50" s="108"/>
      <c r="F50" s="108"/>
      <c r="G50" s="108"/>
      <c r="H50" s="108"/>
    </row>
    <row r="51" spans="1:8" ht="15.75">
      <c r="A51" s="217"/>
      <c r="B51" s="217"/>
      <c r="C51" s="55" t="s">
        <v>25</v>
      </c>
      <c r="D51" s="83"/>
      <c r="E51" s="108"/>
      <c r="F51" s="108"/>
      <c r="G51" s="108"/>
      <c r="H51" s="108"/>
    </row>
    <row r="52" spans="1:8" ht="15.75">
      <c r="A52" s="215" t="s">
        <v>68</v>
      </c>
      <c r="B52" s="215" t="s">
        <v>71</v>
      </c>
      <c r="C52" s="59" t="s">
        <v>19</v>
      </c>
      <c r="D52" s="108">
        <f>D54</f>
        <v>67289.9</v>
      </c>
      <c r="E52" s="108">
        <f>E54</f>
        <v>66250.16</v>
      </c>
      <c r="F52" s="108">
        <f>F54</f>
        <v>30450.05</v>
      </c>
      <c r="G52" s="108">
        <f>G54</f>
        <v>30435.484999999997</v>
      </c>
      <c r="H52" s="108">
        <f>E52+F52+G52</f>
        <v>127135.695</v>
      </c>
    </row>
    <row r="53" spans="1:10" ht="15.75">
      <c r="A53" s="216"/>
      <c r="B53" s="216"/>
      <c r="C53" s="55" t="s">
        <v>20</v>
      </c>
      <c r="D53" s="83"/>
      <c r="E53" s="108"/>
      <c r="F53" s="108"/>
      <c r="G53" s="108"/>
      <c r="H53" s="108"/>
      <c r="J53" s="89"/>
    </row>
    <row r="54" spans="1:12" ht="31.5">
      <c r="A54" s="216"/>
      <c r="B54" s="216"/>
      <c r="C54" s="59" t="s">
        <v>36</v>
      </c>
      <c r="D54" s="108">
        <f>D56+D57</f>
        <v>67289.9</v>
      </c>
      <c r="E54" s="108">
        <f>SUM(E55:E57)</f>
        <v>66250.16</v>
      </c>
      <c r="F54" s="108">
        <f>SUM(F55:F57)</f>
        <v>30450.05</v>
      </c>
      <c r="G54" s="108">
        <f>SUM(G55:G57)</f>
        <v>30435.484999999997</v>
      </c>
      <c r="H54" s="108">
        <f>E54+F54+G54</f>
        <v>127135.695</v>
      </c>
      <c r="J54" s="89"/>
      <c r="K54" s="89"/>
      <c r="L54" s="89"/>
    </row>
    <row r="55" spans="1:8" ht="15.75">
      <c r="A55" s="216"/>
      <c r="B55" s="216"/>
      <c r="C55" s="55" t="s">
        <v>21</v>
      </c>
      <c r="D55" s="83"/>
      <c r="E55" s="108"/>
      <c r="F55" s="108"/>
      <c r="G55" s="108"/>
      <c r="H55" s="108"/>
    </row>
    <row r="56" spans="1:12" ht="15.75">
      <c r="A56" s="216"/>
      <c r="B56" s="216"/>
      <c r="C56" s="55" t="s">
        <v>26</v>
      </c>
      <c r="D56" s="83">
        <f>'ППП2-2'!H42</f>
        <v>95</v>
      </c>
      <c r="E56" s="83">
        <v>0</v>
      </c>
      <c r="F56" s="83">
        <v>0</v>
      </c>
      <c r="G56" s="83">
        <v>0</v>
      </c>
      <c r="H56" s="83">
        <f>E56+F56+G56</f>
        <v>0</v>
      </c>
      <c r="J56" s="89"/>
      <c r="K56" s="89"/>
      <c r="L56" s="89"/>
    </row>
    <row r="57" spans="1:8" ht="15.75">
      <c r="A57" s="216"/>
      <c r="B57" s="216"/>
      <c r="C57" s="55" t="s">
        <v>27</v>
      </c>
      <c r="D57" s="83">
        <f>'ППП2-2'!H17</f>
        <v>67194.9</v>
      </c>
      <c r="E57" s="83">
        <f>'ППП2-2'!I44</f>
        <v>66250.16</v>
      </c>
      <c r="F57" s="83">
        <f>'ППП2-2'!J44</f>
        <v>30450.05</v>
      </c>
      <c r="G57" s="83">
        <f>'ППП2-2'!K44</f>
        <v>30435.484999999997</v>
      </c>
      <c r="H57" s="83">
        <f>E57+F57+G57</f>
        <v>127135.695</v>
      </c>
    </row>
    <row r="58" spans="1:8" ht="15.75">
      <c r="A58" s="216"/>
      <c r="B58" s="216"/>
      <c r="C58" s="55" t="s">
        <v>29</v>
      </c>
      <c r="D58" s="83"/>
      <c r="E58" s="108"/>
      <c r="F58" s="108"/>
      <c r="G58" s="108"/>
      <c r="H58" s="108"/>
    </row>
    <row r="59" spans="1:12" ht="15.75">
      <c r="A59" s="217"/>
      <c r="B59" s="217"/>
      <c r="C59" s="55" t="s">
        <v>25</v>
      </c>
      <c r="D59" s="83"/>
      <c r="E59" s="108"/>
      <c r="F59" s="108"/>
      <c r="G59" s="108"/>
      <c r="H59" s="108"/>
      <c r="J59" s="89"/>
      <c r="K59" s="89"/>
      <c r="L59" s="89"/>
    </row>
    <row r="60" spans="1:8" ht="15.75">
      <c r="A60" s="215" t="s">
        <v>69</v>
      </c>
      <c r="B60" s="215" t="s">
        <v>72</v>
      </c>
      <c r="C60" s="59" t="s">
        <v>19</v>
      </c>
      <c r="D60" s="108">
        <f>D62</f>
        <v>4337.710999999999</v>
      </c>
      <c r="E60" s="108">
        <f>E62</f>
        <v>4444.935</v>
      </c>
      <c r="F60" s="108">
        <f>F62</f>
        <v>4437.635</v>
      </c>
      <c r="G60" s="108">
        <f>G62</f>
        <v>4437.635</v>
      </c>
      <c r="H60" s="108">
        <f>E60+F60+G60</f>
        <v>13320.205</v>
      </c>
    </row>
    <row r="61" spans="1:8" ht="15.75">
      <c r="A61" s="216"/>
      <c r="B61" s="216"/>
      <c r="C61" s="55" t="s">
        <v>20</v>
      </c>
      <c r="D61" s="83"/>
      <c r="E61" s="108"/>
      <c r="F61" s="108"/>
      <c r="G61" s="108"/>
      <c r="H61" s="108"/>
    </row>
    <row r="62" spans="1:12" ht="15.75">
      <c r="A62" s="216"/>
      <c r="B62" s="216"/>
      <c r="C62" s="59" t="s">
        <v>59</v>
      </c>
      <c r="D62" s="108">
        <f>D64+D65</f>
        <v>4337.710999999999</v>
      </c>
      <c r="E62" s="108">
        <f>E64+E65</f>
        <v>4444.935</v>
      </c>
      <c r="F62" s="108">
        <f>F64+F65</f>
        <v>4437.635</v>
      </c>
      <c r="G62" s="108">
        <f>G64+G65</f>
        <v>4437.635</v>
      </c>
      <c r="H62" s="108">
        <f>E62+F62+G62</f>
        <v>13320.205</v>
      </c>
      <c r="L62" s="89"/>
    </row>
    <row r="63" spans="1:12" ht="15.75">
      <c r="A63" s="216"/>
      <c r="B63" s="216"/>
      <c r="C63" s="55" t="s">
        <v>21</v>
      </c>
      <c r="D63" s="83"/>
      <c r="E63" s="108"/>
      <c r="F63" s="108"/>
      <c r="G63" s="108"/>
      <c r="H63" s="108"/>
      <c r="J63" s="89"/>
      <c r="K63" s="89"/>
      <c r="L63" s="89"/>
    </row>
    <row r="64" spans="1:8" ht="15.75">
      <c r="A64" s="216"/>
      <c r="B64" s="216"/>
      <c r="C64" s="55" t="s">
        <v>26</v>
      </c>
      <c r="D64" s="83">
        <f>'ППП2-3'!H24</f>
        <v>308.90000000000003</v>
      </c>
      <c r="E64" s="83">
        <f>'ППП2-3'!I24</f>
        <v>319.3</v>
      </c>
      <c r="F64" s="83">
        <f>'ППП2-3'!J24</f>
        <v>312</v>
      </c>
      <c r="G64" s="83">
        <f>'ППП2-3'!K24</f>
        <v>312</v>
      </c>
      <c r="H64" s="83">
        <f>E64+F64+G64</f>
        <v>943.3</v>
      </c>
    </row>
    <row r="65" spans="1:9" ht="15.75">
      <c r="A65" s="216"/>
      <c r="B65" s="216"/>
      <c r="C65" s="55" t="s">
        <v>27</v>
      </c>
      <c r="D65" s="83">
        <f>'ППП2-3'!H19</f>
        <v>4028.8109999999997</v>
      </c>
      <c r="E65" s="83">
        <f>'ППП2-3'!I19</f>
        <v>4125.635</v>
      </c>
      <c r="F65" s="83">
        <f>'ППП2-3'!J19</f>
        <v>4125.635</v>
      </c>
      <c r="G65" s="83">
        <f>'ППП2-3'!K19</f>
        <v>4125.635</v>
      </c>
      <c r="H65" s="83">
        <f>E65+F65+G65</f>
        <v>12376.905</v>
      </c>
      <c r="I65" s="89"/>
    </row>
    <row r="66" spans="1:8" ht="15.75">
      <c r="A66" s="216"/>
      <c r="B66" s="216"/>
      <c r="C66" s="55" t="s">
        <v>29</v>
      </c>
      <c r="D66" s="83"/>
      <c r="E66" s="83"/>
      <c r="F66" s="83"/>
      <c r="G66" s="83"/>
      <c r="H66" s="108"/>
    </row>
    <row r="67" spans="1:8" ht="15.75">
      <c r="A67" s="217"/>
      <c r="B67" s="217"/>
      <c r="C67" s="55" t="s">
        <v>25</v>
      </c>
      <c r="D67" s="83"/>
      <c r="E67" s="108"/>
      <c r="F67" s="108"/>
      <c r="G67" s="108"/>
      <c r="H67" s="108"/>
    </row>
    <row r="68" spans="1:8" ht="15.75">
      <c r="A68" s="215" t="s">
        <v>70</v>
      </c>
      <c r="B68" s="215" t="s">
        <v>73</v>
      </c>
      <c r="C68" s="59" t="s">
        <v>19</v>
      </c>
      <c r="D68" s="108">
        <f>D70</f>
        <v>88184.096</v>
      </c>
      <c r="E68" s="108">
        <f>E70</f>
        <v>102295.589</v>
      </c>
      <c r="F68" s="108">
        <f>F70</f>
        <v>86717.914</v>
      </c>
      <c r="G68" s="108">
        <f>G70</f>
        <v>86722.981</v>
      </c>
      <c r="H68" s="108">
        <f>E68+F68+G68</f>
        <v>275736.48400000005</v>
      </c>
    </row>
    <row r="69" spans="1:8" ht="15.75">
      <c r="A69" s="216"/>
      <c r="B69" s="216"/>
      <c r="C69" s="55" t="s">
        <v>20</v>
      </c>
      <c r="D69" s="83"/>
      <c r="E69" s="83"/>
      <c r="F69" s="83"/>
      <c r="G69" s="83"/>
      <c r="H69" s="108"/>
    </row>
    <row r="70" spans="1:8" ht="31.5">
      <c r="A70" s="216"/>
      <c r="B70" s="216"/>
      <c r="C70" s="59" t="s">
        <v>36</v>
      </c>
      <c r="D70" s="108">
        <f>D71+D72+D73</f>
        <v>88184.096</v>
      </c>
      <c r="E70" s="108">
        <f>E71+E72+E73</f>
        <v>102295.589</v>
      </c>
      <c r="F70" s="108">
        <f>F71+F72+F73</f>
        <v>86717.914</v>
      </c>
      <c r="G70" s="108">
        <f>G71+G72+G73</f>
        <v>86722.981</v>
      </c>
      <c r="H70" s="108">
        <f>E70+F70+G70</f>
        <v>275736.48400000005</v>
      </c>
    </row>
    <row r="71" spans="1:8" ht="15.75">
      <c r="A71" s="216"/>
      <c r="B71" s="216"/>
      <c r="C71" s="55" t="s">
        <v>21</v>
      </c>
      <c r="D71" s="83">
        <f>'ППП2-4'!H49+'ППП2-4'!H77</f>
        <v>492.5</v>
      </c>
      <c r="E71" s="83">
        <f>'ППП2-4'!I45+'ППП2-4'!I46+'ППП2-4'!I77+'ППП2-4'!I45</f>
        <v>510</v>
      </c>
      <c r="F71" s="83">
        <f>'ППП2-4'!J45+'ППП2-4'!J46+'ППП2-4'!J47+'ППП2-4'!J77</f>
        <v>0</v>
      </c>
      <c r="G71" s="83">
        <f>'ППП2-4'!K45+'ППП2-4'!K46+'ППП2-4'!K47+'ППП2-4'!K77</f>
        <v>0</v>
      </c>
      <c r="H71" s="83">
        <f>E71+F71+G71</f>
        <v>510</v>
      </c>
    </row>
    <row r="72" spans="1:8" ht="15.75">
      <c r="A72" s="216"/>
      <c r="B72" s="216"/>
      <c r="C72" s="55" t="s">
        <v>26</v>
      </c>
      <c r="D72" s="83">
        <f>'ППП2-4'!H78+'ППП2-4'!H108</f>
        <v>3033.969</v>
      </c>
      <c r="E72" s="83">
        <f>'ППП2-4'!I128+'ППП2-4'!I35+'ППП2-4'!I103</f>
        <v>5397.63</v>
      </c>
      <c r="F72" s="83">
        <f>'ППП2-4'!J48+'ППП2-4'!J78+'ППП2-4'!J100+'ППП2-4'!J127</f>
        <v>332.7</v>
      </c>
      <c r="G72" s="83">
        <f>'ППП2-4'!K48+'ППП2-4'!K78+'ППП2-4'!K100+'ППП2-4'!K127</f>
        <v>332.7</v>
      </c>
      <c r="H72" s="83">
        <f>E72+F72+G72</f>
        <v>6063.03</v>
      </c>
    </row>
    <row r="73" spans="1:9" ht="15.75">
      <c r="A73" s="216"/>
      <c r="B73" s="216"/>
      <c r="C73" s="55" t="s">
        <v>27</v>
      </c>
      <c r="D73" s="83">
        <f>'ППП2-4'!H18+'ППП2-4'!H30+'ППП2-4'!H35+'ППП2-4'!H37+'ППП2-4'!H39+'ППП2-4'!H72+'ППП2-4'!H89+'ППП2-4'!H99+'ППП2-4'!H109+'ППП2-4'!H117+'ППП2-4'!H125</f>
        <v>84657.62700000001</v>
      </c>
      <c r="E73" s="83">
        <f>'ППП2-4'!I30+'ППП2-4'!I35+'ППП2-4'!I37+'ППП2-4'!I39+'ППП2-4'!I72+'ППП2-4'!I89+'ППП2-4'!I107+'ППП2-4'!I110+'ППП2-4'!I111</f>
        <v>96387.959</v>
      </c>
      <c r="F73" s="83">
        <f>'ППП2-4'!J30+'ППП2-4'!J35+'ППП2-4'!J37+'ППП2-4'!J39+'ППП2-4'!J72+'ППП2-4'!J89+'ППП2-4'!J107+'ППП2-4'!J110+'ППП2-4'!J111</f>
        <v>86385.214</v>
      </c>
      <c r="G73" s="83">
        <f>'ППП2-4'!K30+'ППП2-4'!K35+'ППП2-4'!K37+'ППП2-4'!K39+'ППП2-4'!K72+'ППП2-4'!K89+'ППП2-4'!K107+'ППП2-4'!K110+'ППП2-4'!K111</f>
        <v>86390.281</v>
      </c>
      <c r="H73" s="83">
        <f>E73+F73+G73</f>
        <v>269163.454</v>
      </c>
      <c r="I73" s="89"/>
    </row>
    <row r="74" spans="1:11" ht="15.75">
      <c r="A74" s="216"/>
      <c r="B74" s="216"/>
      <c r="C74" s="55" t="s">
        <v>29</v>
      </c>
      <c r="D74" s="83"/>
      <c r="E74" s="83"/>
      <c r="F74" s="83"/>
      <c r="G74" s="83"/>
      <c r="H74" s="108"/>
      <c r="I74" s="89"/>
      <c r="K74" s="89"/>
    </row>
    <row r="75" spans="1:8" ht="15.75">
      <c r="A75" s="216"/>
      <c r="B75" s="216"/>
      <c r="C75" s="55" t="s">
        <v>25</v>
      </c>
      <c r="D75" s="83"/>
      <c r="E75" s="83"/>
      <c r="F75" s="83"/>
      <c r="G75" s="83"/>
      <c r="H75" s="108"/>
    </row>
    <row r="76" spans="1:10" s="16" customFormat="1" ht="31.5">
      <c r="A76" s="216"/>
      <c r="B76" s="216"/>
      <c r="C76" s="59" t="s">
        <v>62</v>
      </c>
      <c r="D76" s="108">
        <f>SUM(D77:D81)</f>
        <v>0</v>
      </c>
      <c r="E76" s="108">
        <f>SUM(E77:E81)</f>
        <v>0</v>
      </c>
      <c r="F76" s="108">
        <f>SUM(F77:F81)</f>
        <v>0</v>
      </c>
      <c r="G76" s="108">
        <f>SUM(G77:G81)</f>
        <v>0</v>
      </c>
      <c r="H76" s="108">
        <f>SUM(D76:G76)</f>
        <v>0</v>
      </c>
      <c r="J76" s="180"/>
    </row>
    <row r="77" spans="1:8" ht="15.75">
      <c r="A77" s="216"/>
      <c r="B77" s="216"/>
      <c r="C77" s="55" t="s">
        <v>21</v>
      </c>
      <c r="D77" s="83"/>
      <c r="E77" s="83"/>
      <c r="F77" s="83"/>
      <c r="G77" s="83"/>
      <c r="H77" s="108"/>
    </row>
    <row r="78" spans="1:8" ht="15.75">
      <c r="A78" s="216"/>
      <c r="B78" s="216"/>
      <c r="C78" s="55" t="s">
        <v>26</v>
      </c>
      <c r="D78" s="83"/>
      <c r="E78" s="83"/>
      <c r="F78" s="83"/>
      <c r="G78" s="83"/>
      <c r="H78" s="108"/>
    </row>
    <row r="79" spans="1:8" ht="15.75">
      <c r="A79" s="216"/>
      <c r="B79" s="216"/>
      <c r="C79" s="55" t="s">
        <v>27</v>
      </c>
      <c r="D79" s="83">
        <f>'ППП2-4'!I130</f>
        <v>0</v>
      </c>
      <c r="E79" s="83">
        <f>'ППП2-4'!J130</f>
        <v>0</v>
      </c>
      <c r="F79" s="83">
        <f>'ППП2-4'!K130</f>
        <v>0</v>
      </c>
      <c r="G79" s="83">
        <f>'ППП2-4'!L130</f>
        <v>0</v>
      </c>
      <c r="H79" s="108">
        <f>SUM(D79:G79)</f>
        <v>0</v>
      </c>
    </row>
    <row r="80" spans="1:8" ht="15.75">
      <c r="A80" s="216"/>
      <c r="B80" s="216"/>
      <c r="C80" s="55" t="s">
        <v>24</v>
      </c>
      <c r="D80" s="54"/>
      <c r="E80" s="54"/>
      <c r="F80" s="54"/>
      <c r="G80" s="54"/>
      <c r="H80" s="108"/>
    </row>
    <row r="81" spans="1:8" ht="15.75">
      <c r="A81" s="217"/>
      <c r="B81" s="217"/>
      <c r="C81" s="55" t="s">
        <v>25</v>
      </c>
      <c r="D81" s="54"/>
      <c r="E81" s="54"/>
      <c r="F81" s="54"/>
      <c r="G81" s="54"/>
      <c r="H81" s="108"/>
    </row>
    <row r="82" spans="1:8" ht="15.75">
      <c r="A82" s="261" t="s">
        <v>155</v>
      </c>
      <c r="B82" s="261" t="s">
        <v>135</v>
      </c>
      <c r="C82" s="18" t="s">
        <v>19</v>
      </c>
      <c r="D82" s="108">
        <f>D84+D90</f>
        <v>0</v>
      </c>
      <c r="E82" s="108">
        <f>D82</f>
        <v>0</v>
      </c>
      <c r="F82" s="108">
        <f>E82</f>
        <v>0</v>
      </c>
      <c r="G82" s="108">
        <f>E82</f>
        <v>0</v>
      </c>
      <c r="H82" s="108">
        <f>SUM(D82:G82)</f>
        <v>0</v>
      </c>
    </row>
    <row r="83" spans="1:8" ht="15.75">
      <c r="A83" s="310"/>
      <c r="B83" s="310"/>
      <c r="C83" s="7" t="s">
        <v>20</v>
      </c>
      <c r="D83" s="83"/>
      <c r="E83" s="108"/>
      <c r="F83" s="108"/>
      <c r="G83" s="108"/>
      <c r="H83" s="108"/>
    </row>
    <row r="84" spans="1:8" ht="31.5">
      <c r="A84" s="310"/>
      <c r="B84" s="310"/>
      <c r="C84" s="18" t="s">
        <v>36</v>
      </c>
      <c r="D84" s="108">
        <f>SUM(D85:D89)</f>
        <v>0</v>
      </c>
      <c r="E84" s="108">
        <f aca="true" t="shared" si="3" ref="E84:F87">D84</f>
        <v>0</v>
      </c>
      <c r="F84" s="108">
        <f t="shared" si="3"/>
        <v>0</v>
      </c>
      <c r="G84" s="108">
        <f>E84</f>
        <v>0</v>
      </c>
      <c r="H84" s="108">
        <f>SUM(D84:G84)</f>
        <v>0</v>
      </c>
    </row>
    <row r="85" spans="1:8" ht="15.75">
      <c r="A85" s="310"/>
      <c r="B85" s="310"/>
      <c r="C85" s="7" t="s">
        <v>21</v>
      </c>
      <c r="D85" s="83">
        <v>0</v>
      </c>
      <c r="E85" s="83">
        <f t="shared" si="3"/>
        <v>0</v>
      </c>
      <c r="F85" s="83">
        <f t="shared" si="3"/>
        <v>0</v>
      </c>
      <c r="G85" s="83">
        <f>E85</f>
        <v>0</v>
      </c>
      <c r="H85" s="108">
        <f>SUM(D85:G85)</f>
        <v>0</v>
      </c>
    </row>
    <row r="86" spans="1:8" ht="15.75">
      <c r="A86" s="310"/>
      <c r="B86" s="310"/>
      <c r="C86" s="7" t="s">
        <v>26</v>
      </c>
      <c r="D86" s="83">
        <v>0</v>
      </c>
      <c r="E86" s="83">
        <f t="shared" si="3"/>
        <v>0</v>
      </c>
      <c r="F86" s="83">
        <f t="shared" si="3"/>
        <v>0</v>
      </c>
      <c r="G86" s="83">
        <f>E86</f>
        <v>0</v>
      </c>
      <c r="H86" s="108">
        <f>SUM(D86:G86)</f>
        <v>0</v>
      </c>
    </row>
    <row r="87" spans="1:8" ht="15.75">
      <c r="A87" s="310"/>
      <c r="B87" s="310"/>
      <c r="C87" s="7" t="s">
        <v>27</v>
      </c>
      <c r="D87" s="83">
        <v>0</v>
      </c>
      <c r="E87" s="83">
        <f t="shared" si="3"/>
        <v>0</v>
      </c>
      <c r="F87" s="83">
        <f t="shared" si="3"/>
        <v>0</v>
      </c>
      <c r="G87" s="83">
        <f>E87</f>
        <v>0</v>
      </c>
      <c r="H87" s="108">
        <f>SUM(D87:G87)</f>
        <v>0</v>
      </c>
    </row>
    <row r="88" spans="1:8" ht="15.75">
      <c r="A88" s="310"/>
      <c r="B88" s="310"/>
      <c r="C88" s="7" t="s">
        <v>29</v>
      </c>
      <c r="D88" s="83"/>
      <c r="E88" s="83"/>
      <c r="F88" s="83"/>
      <c r="G88" s="83"/>
      <c r="H88" s="83"/>
    </row>
    <row r="89" spans="1:8" ht="15.75">
      <c r="A89" s="262"/>
      <c r="B89" s="262"/>
      <c r="C89" s="7" t="s">
        <v>25</v>
      </c>
      <c r="D89" s="83"/>
      <c r="E89" s="83"/>
      <c r="F89" s="83"/>
      <c r="G89" s="83"/>
      <c r="H89" s="83"/>
    </row>
    <row r="90" spans="1:8" ht="15.75">
      <c r="A90" s="8"/>
      <c r="B90" s="8"/>
      <c r="C90" s="5"/>
      <c r="D90" s="30"/>
      <c r="E90" s="30"/>
      <c r="F90" s="30"/>
      <c r="G90" s="30"/>
      <c r="H90" s="30"/>
    </row>
    <row r="91" spans="1:8" ht="15.75" hidden="1">
      <c r="A91" s="3" t="s">
        <v>74</v>
      </c>
      <c r="C91" s="15"/>
      <c r="E91" s="313" t="s">
        <v>75</v>
      </c>
      <c r="F91" s="313"/>
      <c r="G91" s="313"/>
      <c r="H91" s="313"/>
    </row>
    <row r="92" spans="3:8" ht="15.75" hidden="1">
      <c r="C92" s="1" t="s">
        <v>30</v>
      </c>
      <c r="E92" s="311" t="s">
        <v>31</v>
      </c>
      <c r="F92" s="311"/>
      <c r="G92" s="311"/>
      <c r="H92" s="311"/>
    </row>
    <row r="93" spans="1:32" s="4" customFormat="1" ht="15.75">
      <c r="A93" s="1"/>
      <c r="B93" s="1"/>
      <c r="C93" s="1"/>
      <c r="D93" s="29"/>
      <c r="E93" s="29"/>
      <c r="F93" s="29"/>
      <c r="G93" s="29"/>
      <c r="H93" s="2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s="4" customFormat="1" ht="15.75">
      <c r="A94" s="13"/>
      <c r="B94" s="13"/>
      <c r="C94" s="13"/>
      <c r="D94" s="29"/>
      <c r="E94" s="29"/>
      <c r="F94" s="29"/>
      <c r="G94" s="29"/>
      <c r="H94" s="2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s="4" customFormat="1" ht="26.25">
      <c r="A95" s="312"/>
      <c r="B95" s="312"/>
      <c r="C95" s="312"/>
      <c r="D95" s="29"/>
      <c r="E95" s="29"/>
      <c r="F95" s="181"/>
      <c r="G95" s="29"/>
      <c r="H95" s="2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s="4" customFormat="1" ht="15.75" customHeight="1">
      <c r="A96" s="312"/>
      <c r="B96" s="312"/>
      <c r="C96" s="312"/>
      <c r="D96" s="29"/>
      <c r="E96" s="29"/>
      <c r="F96" s="29"/>
      <c r="G96" s="29"/>
      <c r="H96" s="29"/>
      <c r="I96" s="308"/>
      <c r="J96" s="30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s="4" customFormat="1" ht="15.75">
      <c r="A97" s="14"/>
      <c r="B97" s="13"/>
      <c r="C97" s="13"/>
      <c r="D97" s="29"/>
      <c r="E97" s="29"/>
      <c r="F97" s="29"/>
      <c r="G97" s="29"/>
      <c r="H97" s="29"/>
      <c r="I97" s="308"/>
      <c r="J97" s="30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s="4" customFormat="1" ht="23.25">
      <c r="A98" s="13"/>
      <c r="B98" s="182"/>
      <c r="C98" s="13"/>
      <c r="D98" s="29"/>
      <c r="E98" s="109"/>
      <c r="F98" s="109"/>
      <c r="G98" s="109"/>
      <c r="H98" s="2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5:7" ht="23.25">
      <c r="E99" s="110"/>
      <c r="F99" s="110"/>
      <c r="G99" s="109"/>
    </row>
    <row r="100" spans="5:7" ht="23.25">
      <c r="E100" s="109"/>
      <c r="F100" s="109"/>
      <c r="G100" s="109"/>
    </row>
    <row r="101" spans="2:7" ht="23.25">
      <c r="B101" s="112"/>
      <c r="E101" s="110"/>
      <c r="F101" s="110"/>
      <c r="G101" s="109"/>
    </row>
    <row r="102" spans="5:7" ht="23.25">
      <c r="E102" s="109"/>
      <c r="F102" s="109"/>
      <c r="G102" s="109"/>
    </row>
    <row r="103" spans="5:7" ht="23.25">
      <c r="E103" s="109"/>
      <c r="F103" s="109"/>
      <c r="G103" s="109"/>
    </row>
    <row r="104" spans="2:7" ht="23.25">
      <c r="B104" s="112"/>
      <c r="E104" s="110"/>
      <c r="F104" s="110"/>
      <c r="G104" s="109"/>
    </row>
    <row r="105" spans="2:7" ht="23.25">
      <c r="B105" s="111"/>
      <c r="E105" s="109"/>
      <c r="F105" s="109"/>
      <c r="G105" s="109"/>
    </row>
  </sheetData>
  <sheetProtection/>
  <mergeCells count="34">
    <mergeCell ref="E1:H1"/>
    <mergeCell ref="E2:H2"/>
    <mergeCell ref="E3:H3"/>
    <mergeCell ref="E4:H4"/>
    <mergeCell ref="A14:H14"/>
    <mergeCell ref="I96:J96"/>
    <mergeCell ref="E92:H92"/>
    <mergeCell ref="A95:C95"/>
    <mergeCell ref="A96:C96"/>
    <mergeCell ref="E91:H91"/>
    <mergeCell ref="A82:A89"/>
    <mergeCell ref="B82:B89"/>
    <mergeCell ref="A19:A43"/>
    <mergeCell ref="B19:B43"/>
    <mergeCell ref="B52:B59"/>
    <mergeCell ref="A60:A67"/>
    <mergeCell ref="A68:A81"/>
    <mergeCell ref="B68:B81"/>
    <mergeCell ref="D17:H17"/>
    <mergeCell ref="A13:H13"/>
    <mergeCell ref="A12:H12"/>
    <mergeCell ref="A44:A51"/>
    <mergeCell ref="B44:B51"/>
    <mergeCell ref="B60:B67"/>
    <mergeCell ref="A10:H10"/>
    <mergeCell ref="A11:H11"/>
    <mergeCell ref="D6:H6"/>
    <mergeCell ref="D7:H8"/>
    <mergeCell ref="I97:J97"/>
    <mergeCell ref="A15:H15"/>
    <mergeCell ref="A17:A18"/>
    <mergeCell ref="B17:B18"/>
    <mergeCell ref="C17:C18"/>
    <mergeCell ref="A52:A59"/>
  </mergeCells>
  <printOptions/>
  <pageMargins left="0.7874015748031497" right="0.1968503937007874" top="0.5905511811023623" bottom="0.5118110236220472" header="0.5511811023622047" footer="0.5118110236220472"/>
  <pageSetup horizontalDpi="600" verticalDpi="600" orientation="landscape" paperSize="9" scale="64" r:id="rId1"/>
  <headerFooter differentFirst="1" alignWithMargins="0">
    <oddHeader>&amp;C&amp;P</oddHeader>
  </headerFooter>
  <rowBreaks count="1" manualBreakCount="1">
    <brk id="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2019-07-19T08:01:44Z</cp:lastPrinted>
  <dcterms:created xsi:type="dcterms:W3CDTF">1996-10-08T23:32:33Z</dcterms:created>
  <dcterms:modified xsi:type="dcterms:W3CDTF">2019-07-19T08:01:47Z</dcterms:modified>
  <cp:category/>
  <cp:version/>
  <cp:contentType/>
  <cp:contentStatus/>
</cp:coreProperties>
</file>