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2\МУНИЦИПАЛЬНЫЕ ПРОГРАММЫ ПРОЕКТЫ НА 2023-2025 гг\982-п от 28.10.2022  + 09  ТРАНСПОРТ\"/>
    </mc:Choice>
  </mc:AlternateContent>
  <bookViews>
    <workbookView xWindow="0" yWindow="0" windowWidth="28800" windowHeight="12435" tabRatio="899" activeTab="2"/>
  </bookViews>
  <sheets>
    <sheet name="пр к пасп" sheetId="2" r:id="rId1"/>
    <sheet name="пр к пасп ПП1" sheetId="7" r:id="rId2"/>
    <sheet name="пр к ПП1" sheetId="8" r:id="rId3"/>
    <sheet name="+ пр к пасп ПП2" sheetId="18" r:id="rId4"/>
    <sheet name="+ пр к ПП2" sheetId="15" r:id="rId5"/>
    <sheet name="+ пр к пасп ПП3" sheetId="19" r:id="rId6"/>
    <sheet name="+пр к ПП3" sheetId="16" r:id="rId7"/>
    <sheet name="+пр к пасп ПП4" sheetId="20" r:id="rId8"/>
    <sheet name="+пр к ПП4" sheetId="17" r:id="rId9"/>
    <sheet name="пр 5 к МП" sheetId="3" r:id="rId10"/>
    <sheet name="+ Приложение 6" sheetId="5" r:id="rId11"/>
    <sheet name="+ Приложение 7" sheetId="6" r:id="rId12"/>
    <sheet name="Лист1" sheetId="26" state="hidden" r:id="rId13"/>
    <sheet name="пп1" sheetId="22" state="hidden" r:id="rId14"/>
    <sheet name="пп2" sheetId="21" state="hidden" r:id="rId15"/>
    <sheet name="пп3" sheetId="24" state="hidden" r:id="rId16"/>
    <sheet name="пп4" sheetId="25" state="hidden" r:id="rId17"/>
  </sheets>
  <externalReferences>
    <externalReference r:id="rId18"/>
  </externalReferences>
  <definedNames>
    <definedName name="_xlnm._FilterDatabase" localSheetId="4" hidden="1">'+ пр к ПП2'!$A$10:$L$17</definedName>
    <definedName name="_xlnm._FilterDatabase" localSheetId="6" hidden="1">'+пр к ПП3'!$A$10:$L$14</definedName>
    <definedName name="_xlnm._FilterDatabase" localSheetId="8" hidden="1">'+пр к ПП4'!$A$10:$M$14</definedName>
    <definedName name="_xlnm._FilterDatabase" localSheetId="2" hidden="1">'пр к ПП1'!$A$10:$M$22</definedName>
    <definedName name="_xlnm.Print_Titles" localSheetId="3">'+ пр к пасп ПП2'!$10:$12</definedName>
    <definedName name="_xlnm.Print_Titles" localSheetId="5">'+ пр к пасп ПП3'!$10:$12</definedName>
    <definedName name="_xlnm.Print_Titles" localSheetId="10">'+ Приложение 6'!$12:$14</definedName>
    <definedName name="_xlnm.Print_Titles" localSheetId="11">'+ Приложение 7'!$14:$16</definedName>
    <definedName name="_xlnm.Print_Titles" localSheetId="7">'+пр к пасп ПП4'!$7:$9</definedName>
    <definedName name="_xlnm.Print_Titles" localSheetId="6">'+пр к ПП3'!$10:$11</definedName>
    <definedName name="_xlnm.Print_Titles" localSheetId="9">'пр 5 к МП'!$11:$12</definedName>
    <definedName name="_xlnm.Print_Titles" localSheetId="0">'пр к пасп'!$13:$16</definedName>
    <definedName name="_xlnm.Print_Titles" localSheetId="1">'пр к пасп ПП1'!$11:$13</definedName>
    <definedName name="_xlnm.Print_Titles" localSheetId="2">'пр к ПП1'!$10:$12</definedName>
    <definedName name="_xlnm.Print_Area" localSheetId="3">'+ пр к пасп ПП2'!$A$1:$H$31</definedName>
    <definedName name="_xlnm.Print_Area" localSheetId="5">'+ пр к пасп ПП3'!$A$1:$I$21</definedName>
    <definedName name="_xlnm.Print_Area" localSheetId="4">'+ пр к ПП2'!$A$1:$L$44</definedName>
    <definedName name="_xlnm.Print_Area" localSheetId="10">'+ Приложение 6'!$A$1:$L$42</definedName>
    <definedName name="_xlnm.Print_Area" localSheetId="11">'+ Приложение 7'!$A$1:$S$51</definedName>
    <definedName name="_xlnm.Print_Area" localSheetId="6">'+пр к ПП3'!$A$1:$L$24</definedName>
    <definedName name="_xlnm.Print_Area" localSheetId="8">'+пр к ПП4'!$A$1:$M$25</definedName>
    <definedName name="_xlnm.Print_Area" localSheetId="9">'пр 5 к МП'!$A$1:$E$35</definedName>
    <definedName name="_xlnm.Print_Area" localSheetId="0">'пр к пасп'!$A$1:$R$29</definedName>
    <definedName name="_xlnm.Print_Area" localSheetId="1">'пр к пасп ПП1'!$A$4:$H$18</definedName>
    <definedName name="_xlnm.Print_Area" localSheetId="2">'пр к ПП1'!$A$1:$M$35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" i="6" l="1"/>
  <c r="O28" i="6"/>
  <c r="O21" i="6" s="1"/>
  <c r="O24" i="6"/>
  <c r="I20" i="17"/>
  <c r="K44" i="15"/>
  <c r="I44" i="15"/>
  <c r="J44" i="15"/>
  <c r="H44" i="15"/>
  <c r="K31" i="15"/>
  <c r="J31" i="15"/>
  <c r="I31" i="15"/>
  <c r="H31" i="15"/>
  <c r="K28" i="15"/>
  <c r="J28" i="15"/>
  <c r="I28" i="15"/>
  <c r="H28" i="15"/>
  <c r="K18" i="15"/>
  <c r="J18" i="15"/>
  <c r="I18" i="15"/>
  <c r="H18" i="15"/>
  <c r="K16" i="15"/>
  <c r="J16" i="15"/>
  <c r="I16" i="15"/>
  <c r="H16" i="15"/>
  <c r="L35" i="8"/>
  <c r="K35" i="8"/>
  <c r="J35" i="8"/>
  <c r="I35" i="8"/>
  <c r="L34" i="8"/>
  <c r="K34" i="8"/>
  <c r="J34" i="8"/>
  <c r="I34" i="8"/>
  <c r="L30" i="8"/>
  <c r="K30" i="8"/>
  <c r="J30" i="8"/>
  <c r="I30" i="8"/>
  <c r="L23" i="8"/>
  <c r="K23" i="8"/>
  <c r="J23" i="8"/>
  <c r="I23" i="8"/>
  <c r="L21" i="8"/>
  <c r="K21" i="8"/>
  <c r="J21" i="8"/>
  <c r="I21" i="8"/>
  <c r="L18" i="8"/>
  <c r="K18" i="8"/>
  <c r="J18" i="8"/>
  <c r="I18" i="8"/>
  <c r="L16" i="8"/>
  <c r="K16" i="8"/>
  <c r="J16" i="8"/>
  <c r="I16" i="8"/>
  <c r="M24" i="6" l="1"/>
  <c r="P24" i="6" l="1"/>
  <c r="N28" i="6"/>
  <c r="L17" i="8"/>
  <c r="P19" i="2" l="1"/>
  <c r="P18" i="2"/>
  <c r="J15" i="17"/>
  <c r="K15" i="17"/>
  <c r="I15" i="17"/>
  <c r="O14" i="6" l="1"/>
  <c r="M21" i="6" l="1"/>
  <c r="M20" i="6"/>
  <c r="M45" i="6"/>
  <c r="M38" i="6"/>
  <c r="M31" i="6"/>
  <c r="O27" i="6"/>
  <c r="P27" i="6"/>
  <c r="N27" i="6"/>
  <c r="M17" i="6" l="1"/>
  <c r="J12" i="5"/>
  <c r="K12" i="5" s="1"/>
  <c r="K11" i="8"/>
  <c r="J11" i="8"/>
  <c r="J11" i="17"/>
  <c r="K11" i="17" s="1"/>
  <c r="J11" i="16"/>
  <c r="I11" i="16"/>
  <c r="L21" i="2"/>
  <c r="G11" i="19"/>
  <c r="H11" i="19" s="1"/>
  <c r="I11" i="19" s="1"/>
  <c r="A28" i="18"/>
  <c r="H27" i="18"/>
  <c r="A26" i="18"/>
  <c r="A24" i="18"/>
  <c r="H23" i="18"/>
  <c r="A22" i="18"/>
  <c r="A20" i="18"/>
  <c r="A17" i="18"/>
  <c r="F16" i="18"/>
  <c r="G16" i="18" s="1"/>
  <c r="H16" i="18" s="1"/>
  <c r="F15" i="18"/>
  <c r="G15" i="18" s="1"/>
  <c r="H15" i="18" s="1"/>
  <c r="A14" i="18"/>
  <c r="A13" i="18"/>
  <c r="F11" i="18"/>
  <c r="G11" i="18" s="1"/>
  <c r="H11" i="18" s="1"/>
  <c r="J43" i="15"/>
  <c r="I43" i="15"/>
  <c r="H43" i="15"/>
  <c r="K42" i="15"/>
  <c r="K43" i="15" s="1"/>
  <c r="J40" i="15"/>
  <c r="I40" i="15"/>
  <c r="H40" i="15"/>
  <c r="K39" i="15"/>
  <c r="K40" i="15" s="1"/>
  <c r="J37" i="15"/>
  <c r="I37" i="15"/>
  <c r="H37" i="15"/>
  <c r="J34" i="15"/>
  <c r="I34" i="15"/>
  <c r="H34" i="15"/>
  <c r="K33" i="15"/>
  <c r="K34" i="15" s="1"/>
  <c r="K30" i="15"/>
  <c r="K27" i="15"/>
  <c r="J25" i="15"/>
  <c r="K25" i="15" s="1"/>
  <c r="I25" i="15"/>
  <c r="H25" i="15"/>
  <c r="K24" i="15"/>
  <c r="J23" i="15"/>
  <c r="I23" i="15"/>
  <c r="H23" i="15"/>
  <c r="K22" i="15"/>
  <c r="J20" i="15"/>
  <c r="I20" i="15"/>
  <c r="H20" i="15"/>
  <c r="K17" i="15"/>
  <c r="K15" i="15"/>
  <c r="O35" i="6" l="1"/>
  <c r="O17" i="6" s="1"/>
  <c r="K20" i="15"/>
  <c r="K23" i="15"/>
  <c r="J27" i="5"/>
  <c r="K36" i="15"/>
  <c r="K37" i="15" s="1"/>
  <c r="P35" i="6" l="1"/>
  <c r="K27" i="5"/>
  <c r="N35" i="6"/>
  <c r="I27" i="5"/>
  <c r="Q35" i="6" l="1"/>
  <c r="L27" i="5"/>
  <c r="L19" i="2" l="1"/>
  <c r="M18" i="2"/>
  <c r="M19" i="2" s="1"/>
  <c r="Y16" i="2"/>
  <c r="N18" i="2" l="1"/>
  <c r="O18" i="2" s="1"/>
  <c r="Q18" i="2" s="1"/>
  <c r="R18" i="2" s="1"/>
  <c r="R19" i="2" s="1"/>
  <c r="Q19" i="2"/>
  <c r="N19" i="2"/>
  <c r="O19" i="2"/>
  <c r="F17" i="19"/>
  <c r="F15" i="19" s="1"/>
  <c r="M22" i="2"/>
  <c r="N22" i="2" l="1"/>
  <c r="O22" i="2" l="1"/>
  <c r="K28" i="6"/>
  <c r="K27" i="6"/>
  <c r="P22" i="2" l="1"/>
  <c r="Q22" i="2" l="1"/>
  <c r="S32" i="6"/>
  <c r="J24" i="5"/>
  <c r="K24" i="5"/>
  <c r="J23" i="5"/>
  <c r="K23" i="5"/>
  <c r="I24" i="5"/>
  <c r="I23" i="5"/>
  <c r="L23" i="5" l="1"/>
  <c r="L24" i="5"/>
  <c r="L21" i="5" s="1"/>
  <c r="R22" i="2"/>
  <c r="I21" i="5"/>
  <c r="I54" i="15" l="1"/>
  <c r="J54" i="15"/>
  <c r="H54" i="15"/>
  <c r="L20" i="6"/>
  <c r="L21" i="6"/>
  <c r="L45" i="6"/>
  <c r="L38" i="6"/>
  <c r="L31" i="6"/>
  <c r="L24" i="6"/>
  <c r="L17" i="6" l="1"/>
  <c r="L33" i="8"/>
  <c r="L26" i="8" l="1"/>
  <c r="I28" i="8"/>
  <c r="L27" i="8"/>
  <c r="K31" i="6" l="1"/>
  <c r="O23" i="8" l="1"/>
  <c r="O22" i="8"/>
  <c r="V16" i="6"/>
  <c r="V17" i="6" s="1"/>
  <c r="O24" i="8" l="1"/>
  <c r="U33" i="6" l="1"/>
  <c r="V33" i="6"/>
  <c r="W33" i="6" s="1"/>
  <c r="E15" i="19" l="1"/>
  <c r="M24" i="2" l="1"/>
  <c r="N24" i="2" s="1"/>
  <c r="O24" i="2" s="1"/>
  <c r="P24" i="2" s="1"/>
  <c r="Q24" i="2" s="1"/>
  <c r="R24" i="2" s="1"/>
  <c r="K23" i="2"/>
  <c r="K21" i="2" s="1"/>
  <c r="Y19" i="2"/>
  <c r="W20" i="2"/>
  <c r="J22" i="2"/>
  <c r="M23" i="2" l="1"/>
  <c r="K19" i="6"/>
  <c r="K20" i="6"/>
  <c r="K21" i="6"/>
  <c r="K22" i="6"/>
  <c r="K23" i="6"/>
  <c r="K24" i="6"/>
  <c r="K38" i="6"/>
  <c r="K45" i="6"/>
  <c r="N23" i="2" l="1"/>
  <c r="M21" i="2"/>
  <c r="K17" i="6"/>
  <c r="O23" i="2" l="1"/>
  <c r="N21" i="2"/>
  <c r="S21" i="15"/>
  <c r="S22" i="15"/>
  <c r="S23" i="15"/>
  <c r="Q25" i="15"/>
  <c r="S18" i="15"/>
  <c r="P23" i="2" l="1"/>
  <c r="O21" i="2"/>
  <c r="S25" i="15"/>
  <c r="S27" i="15" s="1"/>
  <c r="S28" i="15" s="1"/>
  <c r="Q23" i="2" l="1"/>
  <c r="P21" i="2"/>
  <c r="Q27" i="6"/>
  <c r="J27" i="6"/>
  <c r="S27" i="6" s="1"/>
  <c r="J28" i="6"/>
  <c r="R23" i="2" l="1"/>
  <c r="R21" i="2" s="1"/>
  <c r="Q21" i="2"/>
  <c r="J21" i="5"/>
  <c r="J49" i="6" l="1"/>
  <c r="W49" i="6" s="1"/>
  <c r="Z49" i="6"/>
  <c r="J48" i="6"/>
  <c r="W48" i="6" s="1"/>
  <c r="J31" i="6" l="1"/>
  <c r="O41" i="6" l="1"/>
  <c r="P41" i="6"/>
  <c r="N41" i="6"/>
  <c r="S41" i="6" s="1"/>
  <c r="J23" i="16"/>
  <c r="I23" i="16"/>
  <c r="H23" i="16"/>
  <c r="K22" i="16"/>
  <c r="L20" i="8"/>
  <c r="K23" i="16" l="1"/>
  <c r="M26" i="2" l="1"/>
  <c r="N48" i="6" l="1"/>
  <c r="N49" i="6"/>
  <c r="J20" i="6"/>
  <c r="J19" i="6"/>
  <c r="J22" i="6"/>
  <c r="J23" i="6"/>
  <c r="J42" i="6"/>
  <c r="J45" i="6"/>
  <c r="AA49" i="6" s="1"/>
  <c r="J21" i="6" l="1"/>
  <c r="N20" i="6"/>
  <c r="J38" i="6"/>
  <c r="J24" i="6"/>
  <c r="C17" i="6"/>
  <c r="J17" i="6" l="1"/>
  <c r="B6" i="25"/>
  <c r="G25" i="22"/>
  <c r="H25" i="22"/>
  <c r="G23" i="22"/>
  <c r="H23" i="22"/>
  <c r="G24" i="22"/>
  <c r="H24" i="22"/>
  <c r="H9" i="24" l="1"/>
  <c r="H10" i="24"/>
  <c r="E8" i="24"/>
  <c r="B11" i="24"/>
  <c r="H53" i="22"/>
  <c r="G53" i="22"/>
  <c r="F53" i="22"/>
  <c r="G42" i="22"/>
  <c r="H42" i="22"/>
  <c r="F42" i="22"/>
  <c r="N14" i="22"/>
  <c r="G14" i="22" s="1"/>
  <c r="O14" i="22"/>
  <c r="H14" i="22" s="1"/>
  <c r="N15" i="22"/>
  <c r="G15" i="22" s="1"/>
  <c r="O15" i="22"/>
  <c r="H15" i="22" s="1"/>
  <c r="N16" i="22"/>
  <c r="G16" i="22" s="1"/>
  <c r="O16" i="22"/>
  <c r="H16" i="22" s="1"/>
  <c r="N17" i="22"/>
  <c r="G17" i="22" s="1"/>
  <c r="O17" i="22"/>
  <c r="H17" i="22" s="1"/>
  <c r="N18" i="22"/>
  <c r="G18" i="22" s="1"/>
  <c r="O18" i="22"/>
  <c r="H18" i="22" s="1"/>
  <c r="N19" i="22"/>
  <c r="G19" i="22" s="1"/>
  <c r="O19" i="22"/>
  <c r="H19" i="22" s="1"/>
  <c r="N20" i="22"/>
  <c r="G20" i="22" s="1"/>
  <c r="O20" i="22"/>
  <c r="H20" i="22" s="1"/>
  <c r="M15" i="22"/>
  <c r="M16" i="22"/>
  <c r="M17" i="22"/>
  <c r="M18" i="22"/>
  <c r="M19" i="22"/>
  <c r="M20" i="22"/>
  <c r="M14" i="22"/>
  <c r="M7" i="22"/>
  <c r="M8" i="22"/>
  <c r="M9" i="22"/>
  <c r="M10" i="22"/>
  <c r="M11" i="22"/>
  <c r="M12" i="22"/>
  <c r="N6" i="22"/>
  <c r="G6" i="22" s="1"/>
  <c r="O6" i="22"/>
  <c r="H6" i="22" s="1"/>
  <c r="N7" i="22"/>
  <c r="G7" i="22" s="1"/>
  <c r="O7" i="22"/>
  <c r="H7" i="22" s="1"/>
  <c r="N8" i="22"/>
  <c r="G8" i="22" s="1"/>
  <c r="O8" i="22"/>
  <c r="H8" i="22" s="1"/>
  <c r="N9" i="22"/>
  <c r="G9" i="22" s="1"/>
  <c r="O9" i="22"/>
  <c r="H9" i="22" s="1"/>
  <c r="N10" i="22"/>
  <c r="G10" i="22" s="1"/>
  <c r="O10" i="22"/>
  <c r="H10" i="22" s="1"/>
  <c r="N11" i="22"/>
  <c r="G11" i="22" s="1"/>
  <c r="O11" i="22"/>
  <c r="H11" i="22" s="1"/>
  <c r="N12" i="22"/>
  <c r="G12" i="22" s="1"/>
  <c r="O12" i="22"/>
  <c r="H12" i="22" s="1"/>
  <c r="M6" i="22"/>
  <c r="F24" i="22"/>
  <c r="F23" i="22"/>
  <c r="C25" i="22"/>
  <c r="C23" i="22"/>
  <c r="C22" i="22"/>
  <c r="C21" i="22"/>
  <c r="C13" i="22"/>
  <c r="C5" i="22"/>
  <c r="G5" i="22" l="1"/>
  <c r="H5" i="22"/>
  <c r="H13" i="22"/>
  <c r="G13" i="22"/>
  <c r="O13" i="22"/>
  <c r="N13" i="22"/>
  <c r="O5" i="22"/>
  <c r="N5" i="22"/>
  <c r="L31" i="8" l="1"/>
  <c r="I32" i="8"/>
  <c r="J32" i="8"/>
  <c r="K32" i="8"/>
  <c r="J28" i="8"/>
  <c r="K28" i="8"/>
  <c r="L25" i="8"/>
  <c r="I24" i="22" s="1"/>
  <c r="L32" i="8" l="1"/>
  <c r="H45" i="6"/>
  <c r="E10" i="21" l="1"/>
  <c r="E11" i="21"/>
  <c r="E12" i="21"/>
  <c r="E9" i="21"/>
  <c r="F7" i="21"/>
  <c r="G7" i="21"/>
  <c r="E8" i="21" l="1"/>
  <c r="F25" i="22"/>
  <c r="L29" i="8"/>
  <c r="I25" i="22" s="1"/>
  <c r="K21" i="5" l="1"/>
  <c r="N21" i="5" s="1"/>
  <c r="O21" i="5" s="1"/>
  <c r="G16" i="19" l="1"/>
  <c r="H16" i="19"/>
  <c r="I16" i="19"/>
  <c r="G15" i="19" l="1"/>
  <c r="K36" i="5"/>
  <c r="J36" i="5"/>
  <c r="S51" i="6"/>
  <c r="S50" i="6"/>
  <c r="S47" i="6"/>
  <c r="S46" i="6"/>
  <c r="S44" i="6"/>
  <c r="S43" i="6"/>
  <c r="S40" i="6"/>
  <c r="S39" i="6"/>
  <c r="S37" i="6"/>
  <c r="S36" i="6"/>
  <c r="S34" i="6"/>
  <c r="S33" i="6"/>
  <c r="S30" i="6"/>
  <c r="S29" i="6"/>
  <c r="S26" i="6"/>
  <c r="S25" i="6"/>
  <c r="G4" i="22"/>
  <c r="H4" i="22"/>
  <c r="F4" i="22"/>
  <c r="O19" i="6"/>
  <c r="P19" i="6"/>
  <c r="O22" i="6"/>
  <c r="P22" i="6"/>
  <c r="O23" i="6"/>
  <c r="P23" i="6"/>
  <c r="O42" i="6"/>
  <c r="P42" i="6"/>
  <c r="O48" i="6"/>
  <c r="P48" i="6"/>
  <c r="O49" i="6"/>
  <c r="P49" i="6"/>
  <c r="N42" i="6"/>
  <c r="N21" i="6" s="1"/>
  <c r="Q51" i="6"/>
  <c r="Q50" i="6"/>
  <c r="Q47" i="6"/>
  <c r="Q44" i="6"/>
  <c r="Q43" i="6"/>
  <c r="Q40" i="6"/>
  <c r="Q37" i="6"/>
  <c r="Q36" i="6"/>
  <c r="Q34" i="6"/>
  <c r="Q33" i="6"/>
  <c r="Q30" i="6"/>
  <c r="Q29" i="6"/>
  <c r="Q26" i="6"/>
  <c r="H18" i="7"/>
  <c r="S49" i="6" l="1"/>
  <c r="S48" i="6"/>
  <c r="S42" i="6"/>
  <c r="N4" i="22"/>
  <c r="F4" i="24"/>
  <c r="G34" i="22"/>
  <c r="G45" i="22" s="1"/>
  <c r="M4" i="22"/>
  <c r="E4" i="24"/>
  <c r="F34" i="22"/>
  <c r="F45" i="22" s="1"/>
  <c r="O4" i="22"/>
  <c r="G4" i="24"/>
  <c r="H34" i="22"/>
  <c r="H45" i="22" s="1"/>
  <c r="Q49" i="6"/>
  <c r="O45" i="6"/>
  <c r="P45" i="6"/>
  <c r="P20" i="6"/>
  <c r="Q41" i="6"/>
  <c r="Q42" i="6"/>
  <c r="O20" i="6"/>
  <c r="P38" i="6"/>
  <c r="O38" i="6"/>
  <c r="Q48" i="6"/>
  <c r="F15" i="21" l="1"/>
  <c r="G15" i="21"/>
  <c r="E15" i="21"/>
  <c r="B15" i="21"/>
  <c r="J29" i="5" l="1"/>
  <c r="K29" i="5"/>
  <c r="I29" i="5"/>
  <c r="H15" i="21"/>
  <c r="L29" i="5" l="1"/>
  <c r="F6" i="25" l="1"/>
  <c r="G6" i="25"/>
  <c r="K19" i="2" l="1"/>
  <c r="K18" i="2"/>
  <c r="G21" i="2" l="1"/>
  <c r="J21" i="16" l="1"/>
  <c r="I21" i="16"/>
  <c r="H21" i="16"/>
  <c r="K20" i="16"/>
  <c r="K21" i="16" l="1"/>
  <c r="E8" i="25"/>
  <c r="E7" i="25"/>
  <c r="E6" i="25" l="1"/>
  <c r="E7" i="21"/>
  <c r="H7" i="21" s="1"/>
  <c r="L18" i="17" l="1"/>
  <c r="H8" i="25" s="1"/>
  <c r="I19" i="17"/>
  <c r="I37" i="5" s="1"/>
  <c r="L24" i="8"/>
  <c r="I23" i="22" l="1"/>
  <c r="L28" i="8"/>
  <c r="L17" i="17"/>
  <c r="H7" i="25" s="1"/>
  <c r="H6" i="25" s="1"/>
  <c r="K19" i="17"/>
  <c r="K37" i="5" s="1"/>
  <c r="K34" i="5" s="1"/>
  <c r="J19" i="17"/>
  <c r="J37" i="5" s="1"/>
  <c r="J34" i="5" s="1"/>
  <c r="L37" i="5" l="1"/>
  <c r="L19" i="17"/>
  <c r="F8" i="24" l="1"/>
  <c r="G8" i="24"/>
  <c r="F6" i="24"/>
  <c r="G6" i="24"/>
  <c r="F7" i="24"/>
  <c r="G7" i="24"/>
  <c r="E7" i="24"/>
  <c r="E6" i="24"/>
  <c r="H7" i="24" l="1"/>
  <c r="F5" i="24"/>
  <c r="F12" i="24" s="1"/>
  <c r="H6" i="24"/>
  <c r="G5" i="24"/>
  <c r="G12" i="24" s="1"/>
  <c r="E5" i="24"/>
  <c r="E12" i="24" s="1"/>
  <c r="H8" i="24"/>
  <c r="I19" i="16" l="1"/>
  <c r="J19" i="16"/>
  <c r="H19" i="16"/>
  <c r="I17" i="16"/>
  <c r="J17" i="16"/>
  <c r="H17" i="16"/>
  <c r="K32" i="5" l="1"/>
  <c r="K19" i="5" s="1"/>
  <c r="J24" i="16"/>
  <c r="K30" i="5" s="1"/>
  <c r="J32" i="5"/>
  <c r="J19" i="5" s="1"/>
  <c r="I24" i="16"/>
  <c r="J30" i="5" s="1"/>
  <c r="H24" i="16"/>
  <c r="I32" i="5"/>
  <c r="I19" i="5" s="1"/>
  <c r="K17" i="16"/>
  <c r="K19" i="16"/>
  <c r="L19" i="5" l="1"/>
  <c r="L32" i="5"/>
  <c r="K24" i="16"/>
  <c r="L30" i="5" s="1"/>
  <c r="E14" i="24"/>
  <c r="E15" i="24" s="1"/>
  <c r="I30" i="5"/>
  <c r="F14" i="24"/>
  <c r="F15" i="24" s="1"/>
  <c r="O62" i="6"/>
  <c r="O68" i="6"/>
  <c r="P62" i="6"/>
  <c r="P68" i="6"/>
  <c r="G14" i="24"/>
  <c r="G15" i="24" s="1"/>
  <c r="H19" i="6"/>
  <c r="H20" i="6"/>
  <c r="H21" i="6"/>
  <c r="H22" i="6"/>
  <c r="H23" i="6"/>
  <c r="H38" i="6"/>
  <c r="H31" i="6"/>
  <c r="H24" i="6"/>
  <c r="H14" i="24" l="1"/>
  <c r="H15" i="24" s="1"/>
  <c r="H17" i="6"/>
  <c r="G18" i="19" l="1"/>
  <c r="G19" i="19" s="1"/>
  <c r="I16" i="17"/>
  <c r="I37" i="8" l="1"/>
  <c r="N31" i="6" l="1"/>
  <c r="I38" i="8"/>
  <c r="O60" i="6"/>
  <c r="O66" i="6"/>
  <c r="E5" i="25"/>
  <c r="E9" i="25" s="1"/>
  <c r="N24" i="6" l="1"/>
  <c r="Q28" i="6"/>
  <c r="S28" i="6"/>
  <c r="P66" i="6"/>
  <c r="P60" i="6"/>
  <c r="R68" i="6"/>
  <c r="R67" i="6"/>
  <c r="R62" i="6"/>
  <c r="R61" i="6"/>
  <c r="L22" i="8"/>
  <c r="I36" i="5"/>
  <c r="Q24" i="6" l="1"/>
  <c r="L36" i="5"/>
  <c r="L34" i="5" s="1"/>
  <c r="I17" i="5"/>
  <c r="O31" i="6"/>
  <c r="O67" i="6" s="1"/>
  <c r="I34" i="5"/>
  <c r="I49" i="5" l="1"/>
  <c r="N34" i="5"/>
  <c r="O61" i="6"/>
  <c r="I55" i="5"/>
  <c r="F5" i="25"/>
  <c r="F9" i="25" s="1"/>
  <c r="J16" i="17"/>
  <c r="J20" i="17" s="1"/>
  <c r="O63" i="6" l="1"/>
  <c r="O69" i="6"/>
  <c r="J55" i="5"/>
  <c r="J17" i="5"/>
  <c r="G5" i="25"/>
  <c r="G9" i="25" s="1"/>
  <c r="K16" i="17"/>
  <c r="K20" i="17" s="1"/>
  <c r="L15" i="17"/>
  <c r="F20" i="22"/>
  <c r="F19" i="22"/>
  <c r="F18" i="22"/>
  <c r="F17" i="22"/>
  <c r="F16" i="22"/>
  <c r="F15" i="22"/>
  <c r="F14" i="22"/>
  <c r="F7" i="22"/>
  <c r="F8" i="22"/>
  <c r="F9" i="22"/>
  <c r="F10" i="22"/>
  <c r="F11" i="22"/>
  <c r="F12" i="22"/>
  <c r="F6" i="22"/>
  <c r="P20" i="22"/>
  <c r="P19" i="22"/>
  <c r="P18" i="22"/>
  <c r="P17" i="22"/>
  <c r="P16" i="22"/>
  <c r="P15" i="22"/>
  <c r="P14" i="22"/>
  <c r="M13" i="22"/>
  <c r="P12" i="22"/>
  <c r="P11" i="22"/>
  <c r="P10" i="22"/>
  <c r="P9" i="22"/>
  <c r="P8" i="22"/>
  <c r="P7" i="22"/>
  <c r="M5" i="22"/>
  <c r="P69" i="6" l="1"/>
  <c r="P63" i="6"/>
  <c r="K55" i="5"/>
  <c r="I7" i="22"/>
  <c r="I11" i="22"/>
  <c r="I6" i="22"/>
  <c r="L16" i="17"/>
  <c r="J49" i="5"/>
  <c r="H5" i="25"/>
  <c r="H9" i="25" s="1"/>
  <c r="P5" i="22"/>
  <c r="P13" i="22"/>
  <c r="E20" i="6"/>
  <c r="G28" i="22" l="1"/>
  <c r="I10" i="22"/>
  <c r="K49" i="5"/>
  <c r="F5" i="21" l="1"/>
  <c r="G5" i="21"/>
  <c r="E5" i="21"/>
  <c r="E16" i="21" s="1"/>
  <c r="E19" i="21" s="1"/>
  <c r="G6" i="21" l="1"/>
  <c r="F6" i="21"/>
  <c r="E6" i="21"/>
  <c r="H5" i="21"/>
  <c r="B8" i="24"/>
  <c r="B5" i="24"/>
  <c r="F14" i="21"/>
  <c r="G14" i="21"/>
  <c r="E14" i="21"/>
  <c r="F13" i="21"/>
  <c r="G13" i="21"/>
  <c r="E13" i="21"/>
  <c r="B14" i="21"/>
  <c r="B13" i="21"/>
  <c r="F5" i="22"/>
  <c r="H6" i="21" l="1"/>
  <c r="N38" i="6"/>
  <c r="H5" i="24"/>
  <c r="H12" i="24" s="1"/>
  <c r="I38" i="6"/>
  <c r="H14" i="21"/>
  <c r="H13" i="21"/>
  <c r="E28" i="5"/>
  <c r="E37" i="5" s="1"/>
  <c r="E33" i="5"/>
  <c r="J33" i="5"/>
  <c r="J20" i="5" s="1"/>
  <c r="K33" i="5"/>
  <c r="K20" i="5" s="1"/>
  <c r="I33" i="5"/>
  <c r="I20" i="5" s="1"/>
  <c r="J28" i="5"/>
  <c r="J25" i="5" s="1"/>
  <c r="K28" i="5"/>
  <c r="I28" i="5"/>
  <c r="I25" i="5" s="1"/>
  <c r="K18" i="16"/>
  <c r="K16" i="16"/>
  <c r="K15" i="16"/>
  <c r="N68" i="6" l="1"/>
  <c r="N62" i="6"/>
  <c r="Q38" i="6"/>
  <c r="I53" i="5"/>
  <c r="I68" i="6"/>
  <c r="L20" i="5"/>
  <c r="L33" i="5"/>
  <c r="L28" i="5"/>
  <c r="Q62" i="6" l="1"/>
  <c r="Q68" i="6"/>
  <c r="I47" i="5"/>
  <c r="J54" i="5"/>
  <c r="J48" i="5"/>
  <c r="K54" i="5"/>
  <c r="K48" i="5"/>
  <c r="Y22" i="2" l="1"/>
  <c r="W22" i="2"/>
  <c r="Q20" i="6" l="1"/>
  <c r="I21" i="6" l="1"/>
  <c r="I19" i="6"/>
  <c r="G20" i="6" l="1"/>
  <c r="G21" i="6"/>
  <c r="F20" i="6" l="1"/>
  <c r="F21" i="6"/>
  <c r="E21" i="6" l="1"/>
  <c r="E24" i="6"/>
  <c r="G12" i="20" l="1"/>
  <c r="H12" i="20" s="1"/>
  <c r="H28" i="22" l="1"/>
  <c r="F28" i="22"/>
  <c r="G22" i="22"/>
  <c r="H22" i="22"/>
  <c r="F22" i="22"/>
  <c r="F21" i="22"/>
  <c r="I20" i="22"/>
  <c r="I19" i="22"/>
  <c r="I18" i="22"/>
  <c r="I17" i="22"/>
  <c r="I16" i="22"/>
  <c r="I15" i="22"/>
  <c r="I14" i="22"/>
  <c r="F13" i="22"/>
  <c r="I12" i="22"/>
  <c r="I9" i="22"/>
  <c r="I8" i="22"/>
  <c r="F26" i="22" l="1"/>
  <c r="I28" i="22"/>
  <c r="G29" i="22"/>
  <c r="G30" i="22" s="1"/>
  <c r="L15" i="8"/>
  <c r="H29" i="22"/>
  <c r="H30" i="22" s="1"/>
  <c r="F29" i="22"/>
  <c r="F30" i="22" s="1"/>
  <c r="G21" i="22"/>
  <c r="G26" i="22" s="1"/>
  <c r="I5" i="22"/>
  <c r="F9" i="21"/>
  <c r="G9" i="21" s="1"/>
  <c r="F10" i="21"/>
  <c r="F11" i="21"/>
  <c r="G11" i="21" s="1"/>
  <c r="F12" i="21"/>
  <c r="G12" i="21" s="1"/>
  <c r="A15" i="7"/>
  <c r="A14" i="7"/>
  <c r="G10" i="21" l="1"/>
  <c r="G8" i="21" s="1"/>
  <c r="G16" i="21" s="1"/>
  <c r="F8" i="21"/>
  <c r="H9" i="21"/>
  <c r="H12" i="21"/>
  <c r="H11" i="21"/>
  <c r="L19" i="8"/>
  <c r="I20" i="6"/>
  <c r="S20" i="6" s="1"/>
  <c r="I24" i="6"/>
  <c r="H21" i="22"/>
  <c r="W24" i="2"/>
  <c r="W23" i="2"/>
  <c r="F22" i="2"/>
  <c r="V24" i="2"/>
  <c r="E22" i="2"/>
  <c r="V23" i="2"/>
  <c r="L46" i="5" l="1"/>
  <c r="R24" i="6"/>
  <c r="X24" i="2"/>
  <c r="H26" i="22"/>
  <c r="I13" i="22"/>
  <c r="H10" i="21"/>
  <c r="H8" i="21"/>
  <c r="H16" i="21" s="1"/>
  <c r="F16" i="21"/>
  <c r="F19" i="21" s="1"/>
  <c r="I15" i="19"/>
  <c r="H21" i="2"/>
  <c r="X23" i="2"/>
  <c r="X22" i="2" s="1"/>
  <c r="V22" i="2" s="1"/>
  <c r="I66" i="6"/>
  <c r="I21" i="22"/>
  <c r="H15" i="19" l="1"/>
  <c r="H18" i="19"/>
  <c r="H19" i="19" s="1"/>
  <c r="E19" i="2"/>
  <c r="D19" i="2" s="1"/>
  <c r="E18" i="2"/>
  <c r="D18" i="2" s="1"/>
  <c r="B31" i="3"/>
  <c r="I18" i="19" l="1"/>
  <c r="I19" i="19" s="1"/>
  <c r="B27" i="2"/>
  <c r="B25" i="2"/>
  <c r="J21" i="2" l="1"/>
  <c r="I27" i="16"/>
  <c r="J27" i="16"/>
  <c r="H27" i="16"/>
  <c r="H46" i="15" l="1"/>
  <c r="K26" i="7" l="1"/>
  <c r="G45" i="6" l="1"/>
  <c r="F45" i="6"/>
  <c r="E45" i="6"/>
  <c r="G38" i="6"/>
  <c r="F38" i="6"/>
  <c r="E38" i="6"/>
  <c r="S38" i="6" s="1"/>
  <c r="G31" i="6"/>
  <c r="F31" i="6"/>
  <c r="E31" i="6"/>
  <c r="G24" i="6"/>
  <c r="F24" i="6"/>
  <c r="S24" i="6" s="1"/>
  <c r="E19" i="6"/>
  <c r="F19" i="6"/>
  <c r="G19" i="6"/>
  <c r="E22" i="6"/>
  <c r="F22" i="6"/>
  <c r="G22" i="6"/>
  <c r="E23" i="6"/>
  <c r="F23" i="6"/>
  <c r="G23" i="6"/>
  <c r="E17" i="6" l="1"/>
  <c r="G17" i="6"/>
  <c r="F17" i="6"/>
  <c r="E32" i="5" l="1"/>
  <c r="B17" i="2"/>
  <c r="B20" i="2"/>
  <c r="E21" i="2"/>
  <c r="F21" i="2"/>
  <c r="I21" i="2"/>
  <c r="D21" i="2"/>
  <c r="A14" i="19"/>
  <c r="A13" i="19"/>
  <c r="N4" i="6"/>
  <c r="J3" i="5"/>
  <c r="I28" i="16"/>
  <c r="J28" i="16"/>
  <c r="H28" i="16"/>
  <c r="B21" i="3"/>
  <c r="D2" i="3"/>
  <c r="A9" i="3"/>
  <c r="B15" i="3"/>
  <c r="K28" i="16" l="1"/>
  <c r="I45" i="6" l="1"/>
  <c r="N23" i="6"/>
  <c r="Q23" i="6" s="1"/>
  <c r="I23" i="6"/>
  <c r="S23" i="6" s="1"/>
  <c r="N22" i="6"/>
  <c r="Q22" i="6" s="1"/>
  <c r="I22" i="6"/>
  <c r="N19" i="6"/>
  <c r="N17" i="6" s="1"/>
  <c r="C45" i="6"/>
  <c r="C38" i="6"/>
  <c r="C31" i="6"/>
  <c r="C24" i="6"/>
  <c r="E27" i="5"/>
  <c r="E36" i="5" s="1"/>
  <c r="E24" i="5"/>
  <c r="E29" i="5" s="1"/>
  <c r="E23" i="5"/>
  <c r="J18" i="5"/>
  <c r="J15" i="5" s="1"/>
  <c r="K18" i="5"/>
  <c r="L16" i="5"/>
  <c r="L22" i="5"/>
  <c r="L26" i="5"/>
  <c r="L31" i="5"/>
  <c r="L35" i="5"/>
  <c r="S22" i="6" l="1"/>
  <c r="S19" i="6"/>
  <c r="I18" i="5"/>
  <c r="I15" i="5" s="1"/>
  <c r="I46" i="5"/>
  <c r="Q19" i="6"/>
  <c r="U19" i="6" s="1"/>
  <c r="T24" i="6"/>
  <c r="N60" i="6"/>
  <c r="N66" i="6"/>
  <c r="I69" i="6"/>
  <c r="T38" i="6"/>
  <c r="A11" i="20"/>
  <c r="A10" i="20"/>
  <c r="K27" i="16"/>
  <c r="H47" i="15"/>
  <c r="I29" i="22"/>
  <c r="L18" i="5" l="1"/>
  <c r="Q66" i="6"/>
  <c r="Q60" i="6"/>
  <c r="I48" i="5"/>
  <c r="I54" i="5"/>
  <c r="K52" i="5"/>
  <c r="K46" i="5"/>
  <c r="J52" i="5"/>
  <c r="J46" i="5"/>
  <c r="I52" i="5"/>
  <c r="I46" i="15"/>
  <c r="I22" i="22"/>
  <c r="I26" i="22" s="1"/>
  <c r="I30" i="22"/>
  <c r="H48" i="15"/>
  <c r="J53" i="5" l="1"/>
  <c r="J47" i="5"/>
  <c r="R60" i="6"/>
  <c r="R66" i="6"/>
  <c r="R38" i="6"/>
  <c r="L54" i="5"/>
  <c r="L48" i="5"/>
  <c r="L52" i="5"/>
  <c r="I47" i="15"/>
  <c r="L20" i="17"/>
  <c r="J46" i="15"/>
  <c r="N45" i="6"/>
  <c r="S45" i="6" s="1"/>
  <c r="I31" i="6"/>
  <c r="I48" i="15"/>
  <c r="K54" i="15"/>
  <c r="N69" i="6" l="1"/>
  <c r="N63" i="6"/>
  <c r="Q45" i="6"/>
  <c r="R45" i="6" s="1"/>
  <c r="L49" i="5"/>
  <c r="J47" i="15"/>
  <c r="K47" i="15"/>
  <c r="I17" i="6"/>
  <c r="I67" i="6"/>
  <c r="L55" i="5"/>
  <c r="K46" i="15"/>
  <c r="T45" i="6"/>
  <c r="K25" i="5" l="1"/>
  <c r="L25" i="5"/>
  <c r="G19" i="21"/>
  <c r="Q69" i="6"/>
  <c r="Q63" i="6"/>
  <c r="N67" i="6"/>
  <c r="N61" i="6"/>
  <c r="J48" i="15"/>
  <c r="Q31" i="6" l="1"/>
  <c r="L47" i="5"/>
  <c r="P31" i="6"/>
  <c r="S31" i="6" s="1"/>
  <c r="S35" i="6"/>
  <c r="Q21" i="6"/>
  <c r="Q17" i="6" s="1"/>
  <c r="K17" i="5"/>
  <c r="K15" i="5" s="1"/>
  <c r="L15" i="5" s="1"/>
  <c r="P21" i="6"/>
  <c r="S21" i="6" s="1"/>
  <c r="K53" i="5"/>
  <c r="K47" i="5"/>
  <c r="R63" i="6"/>
  <c r="R69" i="6"/>
  <c r="L17" i="5" l="1"/>
  <c r="R17" i="6"/>
  <c r="K48" i="15"/>
  <c r="H19" i="21"/>
  <c r="L53" i="5"/>
  <c r="P17" i="6"/>
  <c r="S17" i="6" s="1"/>
  <c r="P61" i="6"/>
  <c r="P67" i="6"/>
  <c r="T31" i="6"/>
  <c r="R31" i="6"/>
  <c r="T17" i="6" l="1"/>
  <c r="Q61" i="6"/>
  <c r="Q67" i="6"/>
</calcChain>
</file>

<file path=xl/sharedStrings.xml><?xml version="1.0" encoding="utf-8"?>
<sst xmlns="http://schemas.openxmlformats.org/spreadsheetml/2006/main" count="1031" uniqueCount="376">
  <si>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</si>
  <si>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</si>
  <si>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</si>
  <si>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</si>
  <si>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</si>
  <si>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</si>
  <si>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</si>
  <si>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</si>
  <si>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</si>
  <si>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</si>
  <si>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</si>
  <si>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</si>
  <si>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</si>
  <si>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</si>
  <si>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</si>
  <si>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</si>
  <si>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</si>
  <si>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</si>
  <si>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</si>
  <si>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</si>
  <si>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</si>
  <si>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</si>
  <si>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</si>
  <si>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</si>
  <si>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</si>
  <si>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</si>
  <si>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</si>
  <si>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</si>
  <si>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</si>
  <si>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</si>
  <si>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</si>
  <si>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</si>
  <si>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</si>
  <si>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</si>
  <si>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</si>
  <si>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</si>
  <si>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</si>
  <si>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</si>
  <si>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</si>
  <si>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</si>
  <si>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</si>
  <si>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</si>
  <si>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</si>
  <si>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</si>
  <si>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</si>
  <si>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</si>
  <si>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</si>
  <si>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</si>
  <si>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</si>
  <si>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</si>
  <si>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</si>
  <si>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</si>
  <si>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</si>
  <si>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</si>
  <si>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</si>
  <si>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</si>
  <si>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</si>
  <si>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</si>
  <si>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</si>
  <si>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</si>
  <si>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</si>
  <si>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</si>
  <si>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0409</t>
  </si>
  <si>
    <t>мероприятий подпрограммы 1 «Развитие транспортного комплекса, обеспечение сохранности и модернизации автомобильных дорог Туруханского района»</t>
  </si>
  <si>
    <t>0408</t>
  </si>
  <si>
    <t>Администрация Туруханского района</t>
  </si>
  <si>
    <t>Управление ЖКХ и строительства администрации Туруханского района</t>
  </si>
  <si>
    <t>0113</t>
  </si>
  <si>
    <t xml:space="preserve">Протяженность отремонтированных автомобильных дорог общего пользования местного значения </t>
  </si>
  <si>
    <t>км</t>
  </si>
  <si>
    <t>мониторинг и прогноз СЭР МО</t>
  </si>
  <si>
    <t>Протяженность дорог общего пользования, работы по содержанию которых выполняются в объеме действующих нормативов</t>
  </si>
  <si>
    <t>отчетность организаций</t>
  </si>
  <si>
    <t>да - 1, 
нет - 0</t>
  </si>
  <si>
    <t>отчетность исполнителя</t>
  </si>
  <si>
    <t>Функционирование ледовой переправы</t>
  </si>
  <si>
    <t>и значения показателей результативности подпрограммы 2 
«Организация транспортного обслуживания  на территории Туруханского района»</t>
  </si>
  <si>
    <t>тыс. чел.</t>
  </si>
  <si>
    <t>отчетность исполнителя программных мероприятий</t>
  </si>
  <si>
    <t>тыс.чел.</t>
  </si>
  <si>
    <t>и значения показателей результативности подпрограммы 3 
«Безопасность дорожного движения в Туруханском районе»</t>
  </si>
  <si>
    <t xml:space="preserve">Число лиц, погибших в дорожно-транспортных происшествиях </t>
  </si>
  <si>
    <t>чел.</t>
  </si>
  <si>
    <t>1.2.</t>
  </si>
  <si>
    <t>2.1.</t>
  </si>
  <si>
    <t>1.3.</t>
  </si>
  <si>
    <t>1.4.</t>
  </si>
  <si>
    <t>ед.</t>
  </si>
  <si>
    <t>Количество телефонизированных населенных пунктов</t>
  </si>
  <si>
    <t>2013 год</t>
  </si>
  <si>
    <t>Подпрограмма 2</t>
  </si>
  <si>
    <t>Подпрограмма 3</t>
  </si>
  <si>
    <t>Подпрограмма 4</t>
  </si>
  <si>
    <t>администрация Туруханского района</t>
  </si>
  <si>
    <t>Территориальное управление администрации Туруханского района</t>
  </si>
  <si>
    <t>«Развитие транспортного комплекса, обеспечение сохранности и модернизации автомобильных дорог 
Туруханского района»</t>
  </si>
  <si>
    <t>и значения показателей результативности подпрограммы 1</t>
  </si>
  <si>
    <t>Организация транспортного обслуживания  на территории Туруханского района</t>
  </si>
  <si>
    <t>Безопасность дорожного движения в Туруханском районе</t>
  </si>
  <si>
    <t>федеральный бюджет</t>
  </si>
  <si>
    <t>краевой бюджет</t>
  </si>
  <si>
    <t>бюджеты муниципальных образований Туруханского района</t>
  </si>
  <si>
    <t>Развитие транспортной системы и связи Туруханского района</t>
  </si>
  <si>
    <t>всего расходные обязательства по муниципальной программе Туруханского района</t>
  </si>
  <si>
    <t>Предоставление субсидии на возмещение части затрат по перевозке пассажиров авиатранспортом</t>
  </si>
  <si>
    <t>Предоставление субсидии на возмещение части затрат по перевозке пассажиров автомобильным транспортом</t>
  </si>
  <si>
    <t>Расходы на содержание дороги Туруханск - Селиваниха и дорог межселенной территории (дорожный фонд)</t>
  </si>
  <si>
    <t>Устройство и содержание ледовой переправы для передвижения с островной на материковую часть г. Игарка (дорожный фонд)</t>
  </si>
  <si>
    <t>утверждение положения о порядке предоставления и возврата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положения о порядке проведения конкурсного отбора организаций воздушного транспорта на право получения субсидий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норматива субсидирования в расчете на один час налета воздушного судна при осуществлении регулярных пассажирских перевозок на территории Туруханского района.</t>
  </si>
  <si>
    <t>утверждение положения о порядке предоставления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положения о порядке проведения конкурсного отбора претендентов на право получения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норматива субсидирования 1 километра пробега транспортного средства с пассажирами при осуществлении пассажирских перевозок автомобильным транспортом по регулярным автобусным маршрутам на территории с. Туруханск</t>
  </si>
  <si>
    <t>утверждение аукционной документации для проведения открытого аукциона в электронной форме на право заключения муниципального контракта на оказание услуг связи в населенных пунктах Туруханского района</t>
  </si>
  <si>
    <t>территориальное управление администрации Туруханского района</t>
  </si>
  <si>
    <t>приказ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</si>
  <si>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</si>
  <si>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</si>
  <si>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</si>
  <si>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</si>
  <si>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Развитие транспортного комплекса, обеспечение сохранности и модернизации автомобильных дорог Туруханского района</t>
  </si>
  <si>
    <t>Итого по подпрограмме</t>
  </si>
  <si>
    <t>Формирование доступного уровня тарифов для всех категорий населения, путем субсидирования до 70% затрат.</t>
  </si>
  <si>
    <t>Цель муниципальной программы Туруханского района: повышение безопасности дорожного движения</t>
  </si>
  <si>
    <t>поездок / человек</t>
  </si>
  <si>
    <t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t>
  </si>
  <si>
    <t>среднегодовая численность населения</t>
  </si>
  <si>
    <t>Задача муниципальной программы Туруханского района: удовлетворение потребности населения в перевозках</t>
  </si>
  <si>
    <t>1.1.1.</t>
  </si>
  <si>
    <t>2.1.1.</t>
  </si>
  <si>
    <t>3.1.1.</t>
  </si>
  <si>
    <t>2.1.2.</t>
  </si>
  <si>
    <t>4.1.1.</t>
  </si>
  <si>
    <t>Задача муниципальной программы Туруханского района: обеспечение безопасности участников дорожного движения</t>
  </si>
  <si>
    <t>Поддержание транспортного сообщения между островной и материковой частью г. Игарка</t>
  </si>
  <si>
    <t>Приведение технического состояния дорог и объектов улично-дорожной сети нормативным требованиям</t>
  </si>
  <si>
    <t>%</t>
  </si>
  <si>
    <t>Протяженность автомобильных дорог общего пользования местного значения, отвечающих нормативным требованиям и их удельный вес в общей протяженности сети</t>
  </si>
  <si>
    <t>Количество пассажиров, перевезенных внутрирайонными воздушными перевозками на территории Туруханского района</t>
  </si>
  <si>
    <t>Количество пассажиров, перевезенных автомобильным транспортом на территории Туруханского района</t>
  </si>
  <si>
    <t>к паспорту муниципальной  программы Туруханского района "Развитие транспортной системы и связи Туруханского района"</t>
  </si>
  <si>
    <t xml:space="preserve">Социальный риск (число лиц, погибших в дорожно-транспортных происшествиях, на 100 тыс. населения)
</t>
  </si>
  <si>
    <t xml:space="preserve">Транспортный риск (число лиц, погибших в дорожно-транспортных происшествиях, на 10 тыс. транспортных средств)
</t>
  </si>
  <si>
    <t>человек на 100 тысяч населения</t>
  </si>
  <si>
    <t>человек на 10 тысяч транспортных средств</t>
  </si>
  <si>
    <t>Число детей, погибших в дорожно-транспортных происшествиях</t>
  </si>
  <si>
    <t xml:space="preserve">человек </t>
  </si>
  <si>
    <t>ОГИБДД</t>
  </si>
  <si>
    <t>Доступ населения к услугам внутризоновой, междугородней и международной связи.</t>
  </si>
  <si>
    <t>Цель муниципальной программы Туруханского района: повышение доступности транспортных услуг</t>
  </si>
  <si>
    <t>Цель муниципальной программы Туруханского района: развитие телекоммуникационных услуг на территории района</t>
  </si>
  <si>
    <t>перевезено пассажиров авиа</t>
  </si>
  <si>
    <t>перевезено пассажиров авто</t>
  </si>
  <si>
    <t>Цель муниципальной программы Туруханского района: развитие современной и эффективной транспортной инфраструктуры</t>
  </si>
  <si>
    <t>Задача муниципальной программы Туруханского района: обеспечение сохранности, модернизация и развитие сети автомобильных дорог</t>
  </si>
  <si>
    <t>распоряжение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</si>
  <si>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зимний период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</si>
  <si>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летний период</t>
  </si>
  <si>
    <t>утверждение аукционной документации на выполнение работ по содержанию ледовой переправы</t>
  </si>
  <si>
    <t>администрация г. Игарки</t>
  </si>
  <si>
    <t>1.1.2.</t>
  </si>
  <si>
    <t>1.1.3.</t>
  </si>
  <si>
    <t>и значения показателей результативности подпрограммы  4 
«Развитие связи на территории Туруханского района»</t>
  </si>
  <si>
    <t>Развитие связи на территории Туруханского района</t>
  </si>
  <si>
    <t>Приложение № 5</t>
  </si>
  <si>
    <t>Приложение № 7</t>
  </si>
  <si>
    <t>Цель. Удовлетворение потребности населения в перевозках.</t>
  </si>
  <si>
    <t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t>
  </si>
  <si>
    <t>Задача 1. Улучшение технического состояния существующей улично-дорожной сети и автомобильных дорог местного значения.</t>
  </si>
  <si>
    <t>Цель. Снижение числа лиц, погибших в результате ДТП, и количества ДТП с пострадавшими.</t>
  </si>
  <si>
    <t>Задача. 1. Развитие системы организации движения транспортных средств и пешеходов, предупреждение опасного поведения участников дорожного движения.</t>
  </si>
  <si>
    <t>Цель. Формирование доступности внутризоновой, междугородней и международной связи и модернизация существующей телефонной сети.</t>
  </si>
  <si>
    <t>Задача 1. Создание условий, обеспечивающих доступность внутризоновой, междугородней и международной связи.</t>
  </si>
  <si>
    <t>мероприятий подпрограммы 4 «Развитие связи на территории Туруханского района»</t>
  </si>
  <si>
    <t>0920081550</t>
  </si>
  <si>
    <t>0920083230</t>
  </si>
  <si>
    <t>Мероприятие</t>
  </si>
  <si>
    <t>Исполнитель мероприятия</t>
  </si>
  <si>
    <t>Срок исполнения</t>
  </si>
  <si>
    <t>Финансирование</t>
  </si>
  <si>
    <t>сумма, млн. руб.</t>
  </si>
  <si>
    <t>источник</t>
  </si>
  <si>
    <t>в том числе по годам</t>
  </si>
  <si>
    <t>Всего за период</t>
  </si>
  <si>
    <t>Отбор исполнителей мероприятий программы осуществляется в соответствии с порядком отбора претендентов на право получения субсидии, утверждаемым администрацией Туруханского района</t>
  </si>
  <si>
    <t>Постоянно в течение всего периода реализации программы</t>
  </si>
  <si>
    <t>Районный бюджет</t>
  </si>
  <si>
    <r>
      <t>Администрации муниципальных образований Туруханского района определяют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</si>
  <si>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администрация Светлогорского сельсовета</t>
  </si>
  <si>
    <t>администрация Туруханского сельсовета</t>
  </si>
  <si>
    <t>администрация Борского сельсовета</t>
  </si>
  <si>
    <t>администрация Вороговского сельсовета</t>
  </si>
  <si>
    <t>ВСЕГО</t>
  </si>
  <si>
    <t>Краевой бюджет</t>
  </si>
  <si>
    <r>
      <t>Определяется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</si>
  <si>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r>
      <t>Администрация г. Игарка  определяет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</si>
  <si>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Ежегодно, в период наличия ледового покрова</t>
  </si>
  <si>
    <t>0940081600</t>
  </si>
  <si>
    <t>администрация города Игарка</t>
  </si>
  <si>
    <t>администрация Верхнеимбатского сельсовета</t>
  </si>
  <si>
    <t>администрация Зотинского сельсовета</t>
  </si>
  <si>
    <t>Приложение
к паспорту подпрограммы 1 «Развитие транспортного комплекса, обеспечение сохранности и модернизации автомобильных дорог Туруханского района»</t>
  </si>
  <si>
    <t>Приложение 
к подпрограмме 1 «Развитие транспортного комплекса, обеспечение сохранности и модернизации автомобильных дорог Туруханского района»</t>
  </si>
  <si>
    <t>Приложение
к паспорту подпрограммы 2 «Организация транспортного обслуживания  на территории Туруханского района»</t>
  </si>
  <si>
    <t>Приложение
к подпрограмме 2 «Организация транспортного обслуживания  на территории Туруханского района»</t>
  </si>
  <si>
    <t>Приложение
к паспорту подпрограммы 3 «Безопасность дорожного движения в Туруханском районе»</t>
  </si>
  <si>
    <t>Приложение 
к подпрограмме 3 «Безопасность дорожного движения в Туруханском районе»</t>
  </si>
  <si>
    <t>Приложение
к паспорту подпрограммы № 4 «Развитие связи на территории Туруханского района»</t>
  </si>
  <si>
    <t>отчетность исполнителя  мероприятий</t>
  </si>
  <si>
    <t>Приложение
к подпрограмме № 4 «Развитие связи на территории Туруханского района»</t>
  </si>
  <si>
    <t>тыс. рублей</t>
  </si>
  <si>
    <t>Создание условий для безопасности перевозок автомобильным, авиационным и речным транспортом</t>
  </si>
  <si>
    <t>0503</t>
  </si>
  <si>
    <t>0930073980</t>
  </si>
  <si>
    <t>0702</t>
  </si>
  <si>
    <t>09300S3980</t>
  </si>
  <si>
    <t>Управление образования администрации Туруханского района</t>
  </si>
  <si>
    <t>С начала периода речной навигации года, в течение которого реализуется мероприятие</t>
  </si>
  <si>
    <t>сумма, тыс. руб.</t>
  </si>
  <si>
    <t>ВСЕГО по Подпрограмме</t>
  </si>
  <si>
    <t>II-IV квартал года, в течение которого реализуется мероприятие</t>
  </si>
  <si>
    <r>
      <t>Определяется в соответствии с Федеральным законом от 05.04.2013 № 44-ФЗ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</si>
  <si>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 xml:space="preserve"> </t>
  </si>
  <si>
    <t>0920083640</t>
  </si>
  <si>
    <t>Всего по мероприятияю</t>
  </si>
  <si>
    <t>проверка</t>
  </si>
  <si>
    <t>подпрограмма 1</t>
  </si>
  <si>
    <t>подпрограмма 2</t>
  </si>
  <si>
    <t>подпрограмма 3</t>
  </si>
  <si>
    <t>подпрограмма 4</t>
  </si>
  <si>
    <t>мероприятий подпрограммы 2 «Организация транспортного обслуживания на территории Туруханского района»</t>
  </si>
  <si>
    <t>число транспортных средств</t>
  </si>
  <si>
    <t>Проведение мероприятий, направленных на обеспечение безопасного участия детей в дорожном движении</t>
  </si>
  <si>
    <t>расходы бюджетов муниципальных образований на проведение мероприятий, направленных на обеспечение безопасного участия детей в дорожном движении</t>
  </si>
  <si>
    <t>софинансирование расходов на проведение мероприятий, направленных на обеспечение безопасного участия детей в дорожном движении</t>
  </si>
  <si>
    <t>Поддержание спутниковых каналов связи и организация доступа к внутризоновой, междугородней и международной связи, а также доступа к сети Интернет (п. Бахта, п. Бор, с. Верещагино, с. Верхнеимбатск, с. Ворогово, п. Келлог, д. Сургутиха, д. Фарково)</t>
  </si>
  <si>
    <t>Поддержание  спутниковых каналов связи и организация доступа к внутризоновой, междугородней и международной связи, а также доступа к сети Интернет</t>
  </si>
  <si>
    <t>Наличие доступа к услугам внутризоновой, междугородней и международной связи, а также доступа к сети Интернет в населенных пунктах, на территории которых реализуются мероприятия программы</t>
  </si>
  <si>
    <t>Задача 2. Создание безопасных условии для перевозок  на территории района</t>
  </si>
  <si>
    <t>кап ремонт</t>
  </si>
  <si>
    <t>содержание</t>
  </si>
  <si>
    <t>1.5.</t>
  </si>
  <si>
    <t>Создание условий для развития услуг связи в малочисленных и труднодоступных населенных пунктах Красноярского края Туруханского района</t>
  </si>
  <si>
    <t>0410</t>
  </si>
  <si>
    <t>Предоставление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</t>
  </si>
  <si>
    <t>Предоставление субсидий на компенсацию затрат, связанных с воздушной перевозкой пассажиров по маршрутам Красноярск – Светлогорск, Светлогорск - Красноярск</t>
  </si>
  <si>
    <t>в том числе</t>
  </si>
  <si>
    <t>Приложение № 1
к постановлению 
администрации  Туруханского района 
от___________№__________-п</t>
  </si>
  <si>
    <t>Приложение № 2
к постановлению 
администрации  Туруханского района 
от___________№__________-п</t>
  </si>
  <si>
    <t>Приложение № 4
к постановлению 
администрации  Туруханского района 
от___________№__________-п</t>
  </si>
  <si>
    <t>Расходы бюджетов муниципальных образований на проведение мероприятий по формированию законопослушного поведения участников дорожного движения</t>
  </si>
  <si>
    <t>Управление культуры и молодежной политики администрации Туруханского района</t>
  </si>
  <si>
    <t>0930083860</t>
  </si>
  <si>
    <t>постоянно</t>
  </si>
  <si>
    <t>без финансирования</t>
  </si>
  <si>
    <t>0920083890</t>
  </si>
  <si>
    <t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t>
  </si>
  <si>
    <t>Администрация Туруханского района предоставляет межбюджетные трансферты администрации г. Игарка</t>
  </si>
  <si>
    <t>2021 год</t>
  </si>
  <si>
    <t>1.6.</t>
  </si>
  <si>
    <t>Всего по мероприятию</t>
  </si>
  <si>
    <t>Поддержание транспортного сообщения между с. Туруханск и г. Игарка</t>
  </si>
  <si>
    <t>0910081510</t>
  </si>
  <si>
    <t>0910081520</t>
  </si>
  <si>
    <t>0910083940</t>
  </si>
  <si>
    <t>Содержание зимней автодороги Игарка - Светлогосрк - Туруханск</t>
  </si>
  <si>
    <t>1.7.</t>
  </si>
  <si>
    <t>Обустройство и содержание зимней автодороги Игарка - Светлогосрк - Туруханск</t>
  </si>
  <si>
    <t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t>
  </si>
  <si>
    <t>0910073950</t>
  </si>
  <si>
    <t>09100S3950</t>
  </si>
  <si>
    <t>Борский сельский совет</t>
  </si>
  <si>
    <t>Верхнеимбатский сельский совет</t>
  </si>
  <si>
    <t>Вороговский сельский совет</t>
  </si>
  <si>
    <t>Зотинский сельский совет</t>
  </si>
  <si>
    <t>Туруханский сельский совет</t>
  </si>
  <si>
    <t>Светлогорский сельсовет</t>
  </si>
  <si>
    <t>г.Игарка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</si>
  <si>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</t>
  </si>
  <si>
    <t>2022 год</t>
  </si>
  <si>
    <t>2.2.</t>
  </si>
  <si>
    <t>Задача 3. Расходы на транспортировку тел умерших из населенных пунктов Туруханского района</t>
  </si>
  <si>
    <t xml:space="preserve">Расходы на транспортировку тел умерших из населенных пунктов  до места проведения патологоанатомических процедур и захоронения </t>
  </si>
  <si>
    <t>241</t>
  </si>
  <si>
    <t>0920083750</t>
  </si>
  <si>
    <t>Разработка комплексных схем организации дорожного движения</t>
  </si>
  <si>
    <t>244</t>
  </si>
  <si>
    <t>091R310601</t>
  </si>
  <si>
    <t>247</t>
  </si>
  <si>
    <t>1.8.</t>
  </si>
  <si>
    <t>шт.</t>
  </si>
  <si>
    <t>ведомственная отчетность программных мероприятий</t>
  </si>
  <si>
    <t>Снижение рисков дорожно - транспортных проишествий</t>
  </si>
  <si>
    <t>отчетность исполнителя програмных мероприятий</t>
  </si>
  <si>
    <t>Расходы на ремонт дороги Туруханск-Селиваниха и дорог межселенной территории (дорожный фонд)</t>
  </si>
  <si>
    <t>0910084190</t>
  </si>
  <si>
    <t>5.1.</t>
  </si>
  <si>
    <t>постановление администрации Туруханского района</t>
  </si>
  <si>
    <t>утверждение Порядка предоставления грантов в форме субсидий на обеспечение пассажирских перевозок автомобильным транспортом на территории МО Туруханский  район</t>
  </si>
  <si>
    <t>6.1.</t>
  </si>
  <si>
    <t>094D276450</t>
  </si>
  <si>
    <t>813</t>
  </si>
  <si>
    <t>плпн 2020</t>
  </si>
  <si>
    <t>турух</t>
  </si>
  <si>
    <t>светлог</t>
  </si>
  <si>
    <t>бор</t>
  </si>
  <si>
    <t>Ворогово</t>
  </si>
  <si>
    <t>игарка</t>
  </si>
  <si>
    <t>+</t>
  </si>
  <si>
    <t xml:space="preserve">Компенсация юридическим лицам (за исключением государственных и муниципальных учреждений) и индивидуальным предпринимателям, осуществляющим регулярные перевозки пассажиров автомобильным и городским наземным электрическим транспортом по муниципальным маршрутам, части фактически понесенных затрат на топливо и (или) электроэнергию на движение, проведение профилактических мероприятий и дезинфекции подвижного состава общественного транспорта в целях недопущения распространения новой коронавирусной инфекции, вызванной 2019 nCoV, в рамках подпрограммы «Организация транспортного обслуживания на территории Туруханского района" </t>
  </si>
  <si>
    <t>540</t>
  </si>
  <si>
    <t>0920074020</t>
  </si>
  <si>
    <t>Соблюдение превентивных мер</t>
  </si>
  <si>
    <t>2023 год</t>
  </si>
  <si>
    <t>всего прот</t>
  </si>
  <si>
    <t>не отвечающих</t>
  </si>
  <si>
    <t>территориалка</t>
  </si>
  <si>
    <t>мероприятий подпрограммы 3 "Безопасность дорожного движения в Туруханском районе"</t>
  </si>
  <si>
    <t>Приложение № 6</t>
  </si>
  <si>
    <t>-</t>
  </si>
  <si>
    <t>09100S3951</t>
  </si>
  <si>
    <t>0910073951</t>
  </si>
  <si>
    <t>093R310601</t>
  </si>
  <si>
    <t>2024 год</t>
  </si>
  <si>
    <t>Расходы на содержание автомобильных дорог общего пользования местного значения (дорожный фонд)</t>
  </si>
  <si>
    <t>Расходы на капитальный ремонт и ремонт автомобильных дорог общего пользования местного значения (дорожный фонд)</t>
  </si>
  <si>
    <t>0920084470</t>
  </si>
  <si>
    <t>Отдельное мероприятие. Задача 5. Улучшение качества оказания услуг по перевозке пасажиров</t>
  </si>
  <si>
    <t>0920084630</t>
  </si>
  <si>
    <t>Отдельное мероприятие. Задача 6. Улучшение качества содержания улично-дорожной сети</t>
  </si>
  <si>
    <t>0920084670</t>
  </si>
  <si>
    <t>0910084560</t>
  </si>
  <si>
    <t>0910084620</t>
  </si>
  <si>
    <t>Приобретение и доставка специальной техники для содержания улично-дорожной сети</t>
  </si>
  <si>
    <r>
      <t>Транспортная подвижность населения (количество поездок всеми видами транспорта</t>
    </r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 xml:space="preserve"> / количество жителей)</t>
    </r>
  </si>
  <si>
    <r>
      <rPr>
        <vertAlign val="superscript"/>
        <sz val="10"/>
        <rFont val="Times New Roman"/>
        <family val="2"/>
        <charset val="204"/>
      </rPr>
      <t>1</t>
    </r>
    <r>
      <rPr>
        <sz val="10"/>
        <rFont val="Times New Roman"/>
        <family val="2"/>
        <charset val="204"/>
      </rPr>
      <t>Учитывается количество поездок пассажиров, выполненных в рамках оказания услуг по пассажирским перевозкам субъектами, получающими субсидии за счет средств  районного бюджета согласно данной муниципальной программе</t>
    </r>
  </si>
  <si>
    <t>Субсидия на приобретение и доставку специальной техники и дополнительного оборудования для содержания улично-дорожной сети</t>
  </si>
  <si>
    <t>Отдельное мероприятие. Задача 7. Оказание услуг по проверке технического состояния автотранспортных средств</t>
  </si>
  <si>
    <t>7.1.</t>
  </si>
  <si>
    <t>Субсидия на приобретение и доставку автобуса с. Ворогово</t>
  </si>
  <si>
    <t>Приложение № 3
к постановлению администрации  Туруханского района 
от___________№__________-п</t>
  </si>
  <si>
    <t>Отдельное мероприятие. Задача 4. Содержание улично-дорожной сети</t>
  </si>
  <si>
    <t>бульдозер, поливалка, спец техника игарка петраков</t>
  </si>
  <si>
    <t>мпец техника в/ имбатск,бор</t>
  </si>
  <si>
    <t>бор, оборудование техосмотр</t>
  </si>
  <si>
    <t>Профилактические мероприятия направленные на предотвращение распространения COVID-19</t>
  </si>
  <si>
    <t>Организация межнавигационного отстоя судов (припаромки)</t>
  </si>
  <si>
    <t>Проведение паталоготомических процедур в трудодоступных населенных пунктах Турухансокго района</t>
  </si>
  <si>
    <t>Содержание улично-дорожной сети</t>
  </si>
  <si>
    <t>Повышение качества пассажирских перевозок</t>
  </si>
  <si>
    <t>Улучшение состояния улично-дорожной сети</t>
  </si>
  <si>
    <t>Организация технического осмотра транспортных средств</t>
  </si>
  <si>
    <t>исполнение Да-1, Нет-0</t>
  </si>
  <si>
    <t>Приложение 4
к постановлению администрации  Туруханского района 
от___________№__________-п</t>
  </si>
  <si>
    <t>Приложение 5
к постановлению администрации Туруханского района                                                                                                                                   от _____________№ __________ - п</t>
  </si>
  <si>
    <t>Приложение 6
к постановлению                                                                                                     администрации Туруханского района                                                         от _________________ № ______________ - п</t>
  </si>
  <si>
    <t>0920084240</t>
  </si>
  <si>
    <t>Иные межбюджетные трансферты на организацию технического осмотра автомобильного транспорта</t>
  </si>
  <si>
    <t>0920084800</t>
  </si>
  <si>
    <t>811</t>
  </si>
  <si>
    <t>Отдельное мероприятие. Задача 8. Создание резервного запаса топлива для нужд Туруханского района</t>
  </si>
  <si>
    <t>8.1.</t>
  </si>
  <si>
    <t xml:space="preserve">Субсидии на приобретение и доставку топлива для нужд Туруханского района </t>
  </si>
  <si>
    <t>Создание резервного запаса топлива для нужд Туруханского района</t>
  </si>
  <si>
    <t>2026 год</t>
  </si>
  <si>
    <t>Об утверждении Порядка предоставления субсидии на приобретение и доставку топлива для нужд Туруханского района</t>
  </si>
  <si>
    <t>№ 742 -п от 02.09.2022</t>
  </si>
  <si>
    <t>Об утверждении Порядка предоставления грантов в форме субсидий на приобретение и доставку специальной техники и дополнительного оборудования для содержания улично - дорожной сети на территории городского поселения Туруханского района</t>
  </si>
  <si>
    <t xml:space="preserve">     </t>
  </si>
  <si>
    <t>от 01.07.2022 № 565 - п</t>
  </si>
  <si>
    <t>Об утверждении Порядка предоставления грантов в форме субсидий на приобретение и доставку специальной техники и дополнительного оборудования для содержания улично - дорожной сети на территории сельских поселений Туруханского района</t>
  </si>
  <si>
    <t>Отдельные мероприятия подпрограммы</t>
  </si>
  <si>
    <t xml:space="preserve">№ 302-п от 18.04.2022         </t>
  </si>
  <si>
    <t>2.2.1.</t>
  </si>
  <si>
    <t>2.2.2.</t>
  </si>
  <si>
    <t>2.2.3.</t>
  </si>
  <si>
    <t>2.2.4.</t>
  </si>
  <si>
    <t>01</t>
  </si>
  <si>
    <t>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</si>
</sst>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#,##0.000_ ;\-#,##0.000\ "/>
    <numFmt numFmtId="169" formatCode="#,##0.000"/>
    <numFmt numFmtId="170" formatCode="0.0"/>
    <numFmt numFmtId="171" formatCode="_-* #,##0.000_р_._-;\-* #,##0.000_р_._-;_-* &quot;-&quot;???_р_._-;_-@_-"/>
    <numFmt numFmtId="172" formatCode="0.000"/>
    <numFmt numFmtId="173" formatCode="_-* #,##0.0_р_._-;\-* #,##0.0_р_._-;_-* &quot;-&quot;??_р_._-;_-@_-"/>
    <numFmt numFmtId="174" formatCode="0.0000"/>
    <numFmt numFmtId="175" formatCode="[$-419]mmmm\ yyyy;@"/>
    <numFmt numFmtId="176" formatCode="_-* #,##0.0_р_._-;\-* #,##0.0_р_._-;_-* &quot;-&quot;?_р_._-;_-@_-"/>
    <numFmt numFmtId="177" formatCode="_-* #,##0.000\ _₽_-;\-* #,##0.000\ _₽_-;_-* &quot;-&quot;???\ _₽_-;_-@_-"/>
    <numFmt numFmtId="178" formatCode="#,##0.00\ _₽"/>
  </numFmts>
  <fonts count="35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1"/>
      <name val="Times New Roman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i/>
      <sz val="12"/>
      <name val="Times New Roman"/>
      <family val="2"/>
      <charset val="204"/>
    </font>
    <font>
      <sz val="14"/>
      <color rgb="FFFF0000"/>
      <name val="Times New Roman"/>
      <family val="2"/>
      <charset val="204"/>
    </font>
    <font>
      <b/>
      <sz val="12"/>
      <color rgb="FFFF0000"/>
      <name val="Times New Roman"/>
      <family val="2"/>
      <charset val="204"/>
    </font>
    <font>
      <sz val="16"/>
      <name val="Times New Roman"/>
      <family val="2"/>
      <charset val="204"/>
    </font>
    <font>
      <b/>
      <sz val="16"/>
      <name val="Times New Roman"/>
      <family val="2"/>
      <charset val="204"/>
    </font>
    <font>
      <b/>
      <sz val="14"/>
      <color rgb="FFFF0000"/>
      <name val="Times New Roman"/>
      <family val="2"/>
      <charset val="204"/>
    </font>
    <font>
      <sz val="10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vertAlign val="superscript"/>
      <sz val="10"/>
      <name val="Times New Roman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3.5"/>
      <name val="Times New Roman"/>
      <family val="2"/>
      <charset val="204"/>
    </font>
    <font>
      <b/>
      <sz val="13.5"/>
      <name val="Times New Roman"/>
      <family val="2"/>
      <charset val="204"/>
    </font>
    <font>
      <sz val="13.5"/>
      <color rgb="FFFF0000"/>
      <name val="Times New Roman"/>
      <family val="2"/>
      <charset val="204"/>
    </font>
    <font>
      <b/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</cellStyleXfs>
  <cellXfs count="4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3" fillId="4" borderId="0" xfId="0" applyFont="1" applyFill="1"/>
    <xf numFmtId="2" fontId="3" fillId="0" borderId="0" xfId="0" applyNumberFormat="1" applyFont="1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indent="2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8" fillId="0" borderId="1" xfId="2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2" fontId="11" fillId="0" borderId="0" xfId="0" applyNumberFormat="1" applyFont="1"/>
    <xf numFmtId="164" fontId="11" fillId="0" borderId="0" xfId="0" applyNumberFormat="1" applyFont="1"/>
    <xf numFmtId="165" fontId="2" fillId="0" borderId="1" xfId="2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 applyAlignment="1">
      <alignment horizontal="left" vertical="center" wrapText="1"/>
    </xf>
    <xf numFmtId="2" fontId="8" fillId="0" borderId="1" xfId="2" applyNumberFormat="1" applyFont="1" applyFill="1" applyBorder="1" applyAlignment="1">
      <alignment horizontal="center" vertical="center" wrapText="1"/>
    </xf>
    <xf numFmtId="168" fontId="3" fillId="0" borderId="0" xfId="2" applyNumberFormat="1" applyFont="1"/>
    <xf numFmtId="169" fontId="2" fillId="4" borderId="1" xfId="2" applyNumberFormat="1" applyFont="1" applyFill="1" applyBorder="1" applyAlignment="1">
      <alignment vertical="center" wrapText="1"/>
    </xf>
    <xf numFmtId="169" fontId="2" fillId="4" borderId="1" xfId="2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0" xfId="0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71" fontId="3" fillId="0" borderId="0" xfId="0" applyNumberFormat="1" applyFont="1" applyFill="1" applyAlignment="1">
      <alignment vertical="center"/>
    </xf>
    <xf numFmtId="164" fontId="3" fillId="0" borderId="0" xfId="2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165" fontId="6" fillId="5" borderId="1" xfId="2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165" fontId="6" fillId="3" borderId="1" xfId="2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/>
    </xf>
    <xf numFmtId="172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3" fontId="8" fillId="0" borderId="1" xfId="2" applyNumberFormat="1" applyFont="1" applyBorder="1" applyAlignment="1">
      <alignment vertical="center" wrapText="1"/>
    </xf>
    <xf numFmtId="173" fontId="8" fillId="0" borderId="1" xfId="2" applyNumberFormat="1" applyFont="1" applyBorder="1" applyAlignment="1">
      <alignment vertical="center"/>
    </xf>
    <xf numFmtId="173" fontId="9" fillId="0" borderId="1" xfId="2" applyNumberFormat="1" applyFont="1" applyBorder="1"/>
    <xf numFmtId="164" fontId="2" fillId="0" borderId="1" xfId="2" applyFont="1" applyFill="1" applyBorder="1" applyAlignment="1">
      <alignment horizontal="center" vertical="center" wrapText="1"/>
    </xf>
    <xf numFmtId="164" fontId="0" fillId="0" borderId="0" xfId="0" applyNumberFormat="1"/>
    <xf numFmtId="49" fontId="6" fillId="3" borderId="1" xfId="0" applyNumberFormat="1" applyFont="1" applyFill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center" vertical="center" wrapText="1"/>
    </xf>
    <xf numFmtId="172" fontId="8" fillId="0" borderId="1" xfId="2" applyNumberFormat="1" applyFont="1" applyBorder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165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174" fontId="8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164" fontId="8" fillId="0" borderId="1" xfId="2" applyFont="1" applyBorder="1" applyAlignment="1">
      <alignment horizontal="center" vertical="center" wrapText="1"/>
    </xf>
    <xf numFmtId="164" fontId="6" fillId="3" borderId="1" xfId="2" applyFont="1" applyFill="1" applyBorder="1" applyAlignment="1">
      <alignment horizontal="center" vertical="center" wrapText="1"/>
    </xf>
    <xf numFmtId="173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1" fontId="2" fillId="4" borderId="0" xfId="0" applyNumberFormat="1" applyFont="1" applyFill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76" fontId="0" fillId="0" borderId="0" xfId="0" applyNumberFormat="1"/>
    <xf numFmtId="164" fontId="0" fillId="0" borderId="0" xfId="2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6" borderId="0" xfId="0" applyFont="1" applyFill="1"/>
    <xf numFmtId="0" fontId="0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165" fontId="0" fillId="2" borderId="1" xfId="2" applyNumberFormat="1" applyFont="1" applyFill="1" applyBorder="1" applyAlignment="1">
      <alignment horizontal="center" vertical="center" wrapText="1"/>
    </xf>
    <xf numFmtId="165" fontId="0" fillId="2" borderId="1" xfId="2" applyNumberFormat="1" applyFont="1" applyFill="1" applyBorder="1"/>
    <xf numFmtId="165" fontId="0" fillId="0" borderId="0" xfId="0" applyNumberFormat="1" applyFont="1"/>
    <xf numFmtId="165" fontId="2" fillId="7" borderId="1" xfId="2" applyNumberFormat="1" applyFont="1" applyFill="1" applyBorder="1" applyAlignment="1">
      <alignment vertical="center" wrapText="1"/>
    </xf>
    <xf numFmtId="169" fontId="18" fillId="0" borderId="0" xfId="0" applyNumberFormat="1" applyFont="1" applyBorder="1"/>
    <xf numFmtId="49" fontId="6" fillId="3" borderId="1" xfId="0" applyNumberFormat="1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165" fontId="16" fillId="7" borderId="1" xfId="2" applyNumberFormat="1" applyFont="1" applyFill="1" applyBorder="1" applyAlignment="1">
      <alignment horizontal="left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65" fontId="20" fillId="0" borderId="1" xfId="3" applyNumberFormat="1" applyFont="1" applyFill="1" applyBorder="1" applyAlignment="1">
      <alignment vertical="center" wrapText="1"/>
    </xf>
    <xf numFmtId="165" fontId="20" fillId="0" borderId="1" xfId="2" applyNumberFormat="1" applyFont="1" applyFill="1" applyBorder="1" applyAlignment="1">
      <alignment vertical="center" wrapText="1"/>
    </xf>
    <xf numFmtId="165" fontId="20" fillId="0" borderId="1" xfId="2" applyNumberFormat="1" applyFont="1" applyFill="1" applyBorder="1" applyAlignment="1">
      <alignment horizontal="left" vertical="center" wrapText="1"/>
    </xf>
    <xf numFmtId="165" fontId="21" fillId="3" borderId="1" xfId="2" applyNumberFormat="1" applyFont="1" applyFill="1" applyBorder="1" applyAlignment="1">
      <alignment horizontal="center" vertical="center" wrapText="1"/>
    </xf>
    <xf numFmtId="165" fontId="21" fillId="3" borderId="1" xfId="2" applyNumberFormat="1" applyFont="1" applyFill="1" applyBorder="1" applyAlignment="1">
      <alignment horizontal="left" vertical="center" wrapText="1"/>
    </xf>
    <xf numFmtId="165" fontId="2" fillId="7" borderId="1" xfId="2" applyNumberFormat="1" applyFont="1" applyFill="1" applyBorder="1" applyAlignment="1">
      <alignment horizontal="left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Fill="1"/>
    <xf numFmtId="16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2" fontId="16" fillId="4" borderId="1" xfId="0" applyNumberFormat="1" applyFont="1" applyFill="1" applyBorder="1" applyAlignment="1">
      <alignment vertical="center" wrapText="1"/>
    </xf>
    <xf numFmtId="0" fontId="16" fillId="4" borderId="0" xfId="0" applyFont="1" applyFill="1"/>
    <xf numFmtId="0" fontId="16" fillId="4" borderId="1" xfId="0" applyFont="1" applyFill="1" applyBorder="1" applyAlignment="1">
      <alignment vertical="center" wrapText="1"/>
    </xf>
    <xf numFmtId="1" fontId="16" fillId="4" borderId="1" xfId="0" applyNumberFormat="1" applyFont="1" applyFill="1" applyBorder="1" applyAlignment="1">
      <alignment vertical="center"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49" fontId="19" fillId="3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 wrapText="1"/>
    </xf>
    <xf numFmtId="0" fontId="16" fillId="0" borderId="7" xfId="0" applyFont="1" applyFill="1" applyBorder="1" applyAlignment="1">
      <alignment horizontal="center" vertical="center" wrapText="1"/>
    </xf>
    <xf numFmtId="49" fontId="16" fillId="7" borderId="1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2" fontId="18" fillId="0" borderId="0" xfId="0" applyNumberFormat="1" applyFont="1" applyFill="1" applyAlignment="1">
      <alignment vertical="center"/>
    </xf>
    <xf numFmtId="2" fontId="22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49" fontId="19" fillId="3" borderId="1" xfId="0" applyNumberFormat="1" applyFont="1" applyFill="1" applyBorder="1" applyAlignment="1">
      <alignment horizontal="left" vertical="center" wrapText="1"/>
    </xf>
    <xf numFmtId="165" fontId="19" fillId="3" borderId="1" xfId="2" applyNumberFormat="1" applyFont="1" applyFill="1" applyBorder="1" applyAlignment="1">
      <alignment horizontal="center" vertical="center" wrapText="1"/>
    </xf>
    <xf numFmtId="165" fontId="19" fillId="3" borderId="1" xfId="2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center"/>
    </xf>
    <xf numFmtId="178" fontId="16" fillId="0" borderId="1" xfId="0" applyNumberFormat="1" applyFont="1" applyFill="1" applyBorder="1" applyAlignment="1">
      <alignment horizontal="right" vertical="center"/>
    </xf>
    <xf numFmtId="178" fontId="16" fillId="0" borderId="1" xfId="0" applyNumberFormat="1" applyFont="1" applyFill="1" applyBorder="1" applyAlignment="1">
      <alignment vertical="center"/>
    </xf>
    <xf numFmtId="49" fontId="16" fillId="7" borderId="1" xfId="0" applyNumberFormat="1" applyFont="1" applyFill="1" applyBorder="1" applyAlignment="1">
      <alignment horizontal="center" vertical="center"/>
    </xf>
    <xf numFmtId="165" fontId="16" fillId="7" borderId="1" xfId="2" applyNumberFormat="1" applyFont="1" applyFill="1" applyBorder="1" applyAlignment="1">
      <alignment horizontal="center" vertical="center" wrapText="1"/>
    </xf>
    <xf numFmtId="177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1" xfId="2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164" fontId="18" fillId="0" borderId="0" xfId="2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175" fontId="16" fillId="0" borderId="0" xfId="0" applyNumberFormat="1" applyFont="1"/>
    <xf numFmtId="171" fontId="16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/>
    <xf numFmtId="0" fontId="18" fillId="4" borderId="0" xfId="0" applyFont="1" applyFill="1"/>
    <xf numFmtId="168" fontId="18" fillId="0" borderId="0" xfId="2" applyNumberFormat="1" applyFont="1"/>
    <xf numFmtId="169" fontId="18" fillId="0" borderId="0" xfId="0" applyNumberFormat="1" applyFont="1"/>
    <xf numFmtId="169" fontId="18" fillId="0" borderId="0" xfId="2" applyNumberFormat="1" applyFont="1"/>
    <xf numFmtId="164" fontId="18" fillId="0" borderId="0" xfId="2" applyFont="1"/>
    <xf numFmtId="171" fontId="18" fillId="0" borderId="0" xfId="0" applyNumberFormat="1" applyFont="1"/>
    <xf numFmtId="169" fontId="18" fillId="0" borderId="12" xfId="0" applyNumberFormat="1" applyFont="1" applyBorder="1"/>
    <xf numFmtId="169" fontId="18" fillId="0" borderId="12" xfId="2" applyNumberFormat="1" applyFont="1" applyBorder="1"/>
    <xf numFmtId="0" fontId="18" fillId="0" borderId="12" xfId="0" applyFont="1" applyBorder="1"/>
    <xf numFmtId="169" fontId="18" fillId="0" borderId="0" xfId="2" applyNumberFormat="1" applyFont="1" applyBorder="1"/>
    <xf numFmtId="0" fontId="18" fillId="0" borderId="0" xfId="0" applyFont="1" applyBorder="1"/>
    <xf numFmtId="169" fontId="18" fillId="0" borderId="11" xfId="0" applyNumberFormat="1" applyFont="1" applyBorder="1"/>
    <xf numFmtId="169" fontId="18" fillId="0" borderId="11" xfId="2" applyNumberFormat="1" applyFont="1" applyBorder="1"/>
    <xf numFmtId="0" fontId="18" fillId="0" borderId="11" xfId="0" applyFont="1" applyBorder="1"/>
    <xf numFmtId="169" fontId="22" fillId="0" borderId="12" xfId="0" applyNumberFormat="1" applyFont="1" applyBorder="1"/>
    <xf numFmtId="0" fontId="6" fillId="0" borderId="1" xfId="0" applyFont="1" applyBorder="1" applyAlignment="1">
      <alignment vertical="center" wrapText="1"/>
    </xf>
    <xf numFmtId="169" fontId="6" fillId="4" borderId="1" xfId="2" applyNumberFormat="1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center" vertical="center"/>
    </xf>
    <xf numFmtId="164" fontId="2" fillId="7" borderId="1" xfId="2" applyFont="1" applyFill="1" applyBorder="1" applyAlignment="1">
      <alignment horizontal="center" vertical="center" wrapText="1"/>
    </xf>
    <xf numFmtId="164" fontId="6" fillId="5" borderId="1" xfId="2" applyFont="1" applyFill="1" applyBorder="1" applyAlignment="1">
      <alignment horizontal="center" vertical="center" wrapText="1"/>
    </xf>
    <xf numFmtId="177" fontId="12" fillId="0" borderId="0" xfId="0" applyNumberFormat="1" applyFont="1" applyFill="1" applyAlignment="1">
      <alignment vertical="center"/>
    </xf>
    <xf numFmtId="165" fontId="16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5" fontId="2" fillId="0" borderId="0" xfId="0" applyNumberFormat="1" applyFont="1"/>
    <xf numFmtId="175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5" fontId="2" fillId="0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75" fontId="2" fillId="2" borderId="1" xfId="0" applyNumberFormat="1" applyFont="1" applyFill="1" applyBorder="1" applyAlignment="1">
      <alignment vertical="center" wrapText="1"/>
    </xf>
    <xf numFmtId="175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2" fillId="7" borderId="1" xfId="0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vertical="center"/>
    </xf>
    <xf numFmtId="2" fontId="14" fillId="0" borderId="0" xfId="0" applyNumberFormat="1" applyFont="1" applyFill="1" applyAlignment="1">
      <alignment vertical="center"/>
    </xf>
    <xf numFmtId="177" fontId="16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9" fontId="6" fillId="0" borderId="1" xfId="2" applyNumberFormat="1" applyFont="1" applyBorder="1" applyAlignment="1">
      <alignment vertical="center" wrapText="1"/>
    </xf>
    <xf numFmtId="169" fontId="2" fillId="0" borderId="1" xfId="2" applyNumberFormat="1" applyFont="1" applyBorder="1" applyAlignment="1">
      <alignment vertical="center" wrapText="1"/>
    </xf>
    <xf numFmtId="169" fontId="2" fillId="7" borderId="1" xfId="2" applyNumberFormat="1" applyFont="1" applyFill="1" applyBorder="1" applyAlignment="1">
      <alignment vertical="center" wrapText="1"/>
    </xf>
    <xf numFmtId="171" fontId="2" fillId="0" borderId="0" xfId="0" applyNumberFormat="1" applyFont="1"/>
    <xf numFmtId="173" fontId="2" fillId="0" borderId="1" xfId="2" applyNumberFormat="1" applyFont="1" applyFill="1" applyBorder="1" applyAlignment="1">
      <alignment vertical="center" wrapText="1"/>
    </xf>
    <xf numFmtId="167" fontId="2" fillId="0" borderId="1" xfId="2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4" fontId="2" fillId="7" borderId="1" xfId="2" applyNumberFormat="1" applyFont="1" applyFill="1" applyBorder="1" applyAlignment="1">
      <alignment vertical="center" wrapText="1"/>
    </xf>
    <xf numFmtId="164" fontId="2" fillId="0" borderId="1" xfId="2" applyNumberFormat="1" applyFont="1" applyFill="1" applyBorder="1" applyAlignment="1">
      <alignment vertical="center" wrapText="1"/>
    </xf>
    <xf numFmtId="1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/>
    <xf numFmtId="164" fontId="2" fillId="0" borderId="1" xfId="2" applyFont="1" applyFill="1" applyBorder="1" applyAlignment="1">
      <alignment vertical="center" wrapText="1"/>
    </xf>
    <xf numFmtId="170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165" fontId="26" fillId="0" borderId="1" xfId="2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30" fillId="0" borderId="1" xfId="0" applyFont="1" applyBorder="1" applyAlignment="1">
      <alignment vertical="center" wrapText="1"/>
    </xf>
    <xf numFmtId="164" fontId="30" fillId="0" borderId="1" xfId="2" applyNumberFormat="1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67" fontId="30" fillId="0" borderId="1" xfId="2" applyNumberFormat="1" applyFont="1" applyFill="1" applyBorder="1" applyAlignment="1">
      <alignment vertical="center" wrapText="1"/>
    </xf>
    <xf numFmtId="167" fontId="30" fillId="0" borderId="1" xfId="2" applyNumberFormat="1" applyFont="1" applyFill="1" applyBorder="1" applyAlignment="1">
      <alignment horizontal="right" vertical="center" wrapText="1"/>
    </xf>
    <xf numFmtId="164" fontId="30" fillId="0" borderId="1" xfId="2" applyNumberFormat="1" applyFont="1" applyFill="1" applyBorder="1" applyAlignment="1">
      <alignment horizontal="right" vertical="center" wrapText="1"/>
    </xf>
    <xf numFmtId="0" fontId="30" fillId="0" borderId="3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16" fillId="0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right" vertical="center"/>
    </xf>
    <xf numFmtId="0" fontId="2" fillId="7" borderId="1" xfId="0" applyFont="1" applyFill="1" applyBorder="1" applyAlignment="1">
      <alignment vertical="center" wrapText="1"/>
    </xf>
    <xf numFmtId="0" fontId="16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165" fontId="2" fillId="7" borderId="1" xfId="2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vertical="center" wrapText="1"/>
    </xf>
    <xf numFmtId="1" fontId="2" fillId="8" borderId="1" xfId="0" applyNumberFormat="1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vertical="center" wrapText="1"/>
    </xf>
    <xf numFmtId="0" fontId="30" fillId="0" borderId="1" xfId="2" applyNumberFormat="1" applyFont="1" applyFill="1" applyBorder="1" applyAlignment="1">
      <alignment horizontal="right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14" fontId="34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justify" vertical="center"/>
    </xf>
    <xf numFmtId="177" fontId="3" fillId="0" borderId="0" xfId="0" applyNumberFormat="1" applyFont="1" applyFill="1" applyAlignment="1">
      <alignment vertical="center" wrapText="1"/>
    </xf>
    <xf numFmtId="0" fontId="18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1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16" fontId="2" fillId="0" borderId="7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left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31" fillId="0" borderId="2" xfId="5" applyFont="1" applyBorder="1" applyAlignment="1">
      <alignment horizontal="left" vertical="center" wrapText="1"/>
    </xf>
    <xf numFmtId="0" fontId="31" fillId="0" borderId="3" xfId="5" applyFont="1" applyBorder="1" applyAlignment="1">
      <alignment horizontal="left" vertical="center" wrapText="1"/>
    </xf>
    <xf numFmtId="0" fontId="31" fillId="0" borderId="4" xfId="5" applyFont="1" applyBorder="1" applyAlignment="1">
      <alignment horizontal="left" vertical="center" wrapText="1"/>
    </xf>
    <xf numFmtId="0" fontId="3" fillId="7" borderId="0" xfId="0" applyFont="1" applyFill="1" applyAlignment="1">
      <alignment horizontal="left" vertical="top" wrapText="1"/>
    </xf>
    <xf numFmtId="16" fontId="31" fillId="0" borderId="2" xfId="0" applyNumberFormat="1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16" fontId="31" fillId="0" borderId="2" xfId="0" applyNumberFormat="1" applyFont="1" applyFill="1" applyBorder="1" applyAlignment="1">
      <alignment horizontal="justify" vertical="center" wrapText="1"/>
    </xf>
    <xf numFmtId="0" fontId="31" fillId="0" borderId="3" xfId="0" applyFont="1" applyFill="1" applyBorder="1" applyAlignment="1">
      <alignment horizontal="justify" vertical="center" wrapText="1"/>
    </xf>
    <xf numFmtId="0" fontId="31" fillId="0" borderId="4" xfId="0" applyFont="1" applyFill="1" applyBorder="1" applyAlignment="1">
      <alignment horizontal="justify" vertical="center" wrapText="1"/>
    </xf>
    <xf numFmtId="0" fontId="30" fillId="0" borderId="1" xfId="0" applyFont="1" applyBorder="1" applyAlignment="1">
      <alignment horizontal="center" vertical="center" wrapText="1"/>
    </xf>
    <xf numFmtId="0" fontId="3" fillId="7" borderId="0" xfId="0" applyFont="1" applyFill="1" applyAlignment="1">
      <alignment horizontal="left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16" fontId="6" fillId="7" borderId="2" xfId="0" applyNumberFormat="1" applyFont="1" applyFill="1" applyBorder="1" applyAlignment="1">
      <alignment horizontal="left" vertical="center" wrapText="1"/>
    </xf>
    <xf numFmtId="16" fontId="6" fillId="7" borderId="3" xfId="0" applyNumberFormat="1" applyFont="1" applyFill="1" applyBorder="1" applyAlignment="1">
      <alignment horizontal="left" vertical="center" wrapText="1"/>
    </xf>
    <xf numFmtId="16" fontId="6" fillId="7" borderId="4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7" borderId="5" xfId="4" applyFont="1" applyFill="1" applyBorder="1" applyAlignment="1">
      <alignment horizontal="left" vertical="center" wrapText="1"/>
    </xf>
    <xf numFmtId="0" fontId="2" fillId="7" borderId="7" xfId="4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vertical="top" wrapText="1"/>
    </xf>
    <xf numFmtId="0" fontId="3" fillId="7" borderId="0" xfId="0" applyFont="1" applyFill="1" applyAlignment="1">
      <alignment horizontal="left"/>
    </xf>
    <xf numFmtId="0" fontId="2" fillId="7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13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7409" name="Надпись 2"/>
        <xdr:cNvSpPr txBox="1">
          <a:spLocks noChangeArrowheads="1"/>
        </xdr:cNvSpPr>
      </xdr:nvSpPr>
      <xdr:spPr bwMode="auto">
        <a:xfrm>
          <a:off x="590550" y="24888825"/>
          <a:ext cx="352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»;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5;&#1056;&#1040;&#1042;&#1051;&#1045;&#1053;&#1048;&#1045;%20&#1044;&#1045;&#1051;&#1040;&#1052;&#1048;/&#1059;&#1055;&#1056;&#1040;&#1042;&#1051;&#1045;&#1053;&#1048;&#1045;%20&#1044;&#1045;&#1051;&#1040;&#1052;&#1048;%202022/&#1059;&#1055;&#1056;&#1040;&#1042;&#1051;&#1045;&#1053;&#1048;&#1045;%20&#1069;&#1050;&#1054;&#1053;&#1054;&#1052;&#1048;&#1050;&#1048;/&#1052;&#1059;&#1063;&#1050;&#1040;&#1045;&#1042;&#1040;%20(&#1074;&#1099;&#1077;%20&#1080;&#1079;&#1084;&#1077;&#1085;&#1077;&#1085;&#1080;&#1103;,%20&#1088;&#1072;&#1089;&#1087;&#1086;&#1088;&#1103;&#1078;&#1077;&#1085;&#1080;&#1103;)/&#1058;&#1056;&#1040;&#1053;&#1057;&#1055;&#1054;&#1056;&#1058;/&#1048;&#1047;&#1052;&#1045;&#1053;&#1045;&#1053;&#1048;&#1071;%20&#1042;%20&#1055;&#1056;&#1054;&#1043;&#1056;&#1040;&#1052;&#1052;&#1059;/751-&#1087;%20&#1090;&#1088;&#1072;&#1085;&#1089;&#1087;&#1086;&#1088;&#1090;%20&#1080;&#1079;&#1084;&#1077;&#1085;&#1077;&#1085;&#1080;&#1103;%203%20(&#1072;&#1074;&#1075;&#1091;&#1089;&#1090;&#1086;&#1074;&#1089;&#1082;&#1072;&#1103;%20&#1089;&#1077;&#1089;&#1089;&#1080;&#1103;)/&#1086;&#1090;&#1076;&#1077;&#1083;&#1100;&#1085;&#1099;&#1077;%20&#1092;&#1072;&#1081;&#1083;&#1099;/3%20&#1087;&#1088;&#1080;&#1083;&#1086;&#1078;&#1077;&#1085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к пасп ПП1"/>
      <sheetName val="пр к ПП1"/>
      <sheetName val="пр к пасп ПП2"/>
      <sheetName val="пр к ПП2"/>
      <sheetName val="пр к пасп ПП3"/>
      <sheetName val="пр к ПП3"/>
      <sheetName val="пр к пасп ПП4"/>
      <sheetName val="пр к ПП4"/>
      <sheetName val="пр 5 к МП"/>
      <sheetName val="Приложение 6"/>
      <sheetName val="Приложение 7"/>
      <sheetName val="Лист1"/>
      <sheetName val="пп1"/>
      <sheetName val="пп2"/>
      <sheetName val="пп3"/>
      <sheetName val="пп4"/>
    </sheetNames>
    <sheetDataSet>
      <sheetData sheetId="0"/>
      <sheetData sheetId="1"/>
      <sheetData sheetId="2"/>
      <sheetData sheetId="3"/>
      <sheetData sheetId="4">
        <row r="13">
          <cell r="A13" t="str">
            <v>Цель. Удовлетворение потребности населения в перевозках.</v>
          </cell>
        </row>
        <row r="14">
          <cell r="A14" t="str">
            <v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v>
          </cell>
        </row>
        <row r="21">
          <cell r="A21" t="str">
            <v>Задача 2. Создание безопасных условии для перевозок  на территории района</v>
          </cell>
        </row>
        <row r="26">
          <cell r="A26" t="str">
            <v>Задача 3. Расходы на транспортировку тел умерших из населенных пунктов Туруханского района</v>
          </cell>
        </row>
        <row r="29">
          <cell r="A29" t="str">
            <v>Отдельное мероприятие. Задача 4. Содержание улично-дорожной сети</v>
          </cell>
        </row>
        <row r="32">
          <cell r="A32" t="str">
            <v>Отдельное мероприятие. Задача 5. Улучшение качества оказания услуг по перевозке пасажиров</v>
          </cell>
        </row>
        <row r="35">
          <cell r="A35" t="str">
            <v>Отдельное мероприятие. Задача 6. Улучшение качества содержания улично-дорожной сети</v>
          </cell>
        </row>
        <row r="38">
          <cell r="A38" t="str">
            <v>Отдельное мероприятие. Задача 7. Оказание услуг по проверке технического состояния автотранспортных средств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0"/>
  <sheetViews>
    <sheetView view="pageBreakPreview" topLeftCell="A9" zoomScale="85" zoomScaleNormal="70" zoomScaleSheetLayoutView="85" workbookViewId="0">
      <selection activeCell="Q21" sqref="Q21"/>
    </sheetView>
  </sheetViews>
  <sheetFormatPr defaultColWidth="9" defaultRowHeight="15.75" outlineLevelRow="1" x14ac:dyDescent="0.25"/>
  <cols>
    <col min="1" max="1" width="6.375" style="141" customWidth="1"/>
    <col min="2" max="2" width="24.375" style="142" customWidth="1"/>
    <col min="3" max="3" width="11.75" style="142" customWidth="1"/>
    <col min="4" max="4" width="8.875" style="142" customWidth="1"/>
    <col min="5" max="5" width="12" style="142" customWidth="1"/>
    <col min="6" max="6" width="12.25" style="142" customWidth="1"/>
    <col min="7" max="7" width="11" style="142" customWidth="1"/>
    <col min="8" max="8" width="13.25" style="142" customWidth="1"/>
    <col min="9" max="10" width="10.25" style="142" customWidth="1"/>
    <col min="11" max="11" width="10.25" style="143" customWidth="1"/>
    <col min="12" max="14" width="10.25" style="1" customWidth="1"/>
    <col min="15" max="16" width="10.25" style="142" customWidth="1"/>
    <col min="17" max="18" width="14.875" style="142" customWidth="1"/>
    <col min="19" max="16384" width="9" style="142"/>
  </cols>
  <sheetData>
    <row r="1" spans="1:25" ht="75.75" hidden="1" customHeight="1" outlineLevel="1" x14ac:dyDescent="0.25">
      <c r="J1" s="317" t="s">
        <v>244</v>
      </c>
      <c r="K1" s="317"/>
      <c r="L1" s="317"/>
      <c r="M1" s="317"/>
      <c r="N1" s="317"/>
      <c r="O1" s="317"/>
      <c r="P1" s="317"/>
      <c r="Q1" s="317"/>
      <c r="R1" s="317"/>
    </row>
    <row r="2" spans="1:25" hidden="1" outlineLevel="1" x14ac:dyDescent="0.25"/>
    <row r="3" spans="1:25" hidden="1" outlineLevel="1" x14ac:dyDescent="0.25"/>
    <row r="4" spans="1:25" ht="18.75" collapsed="1" x14ac:dyDescent="0.25">
      <c r="A4" s="2"/>
      <c r="B4" s="1"/>
      <c r="C4" s="1"/>
      <c r="D4" s="1"/>
      <c r="E4" s="1"/>
      <c r="F4" s="1"/>
      <c r="G4" s="1"/>
      <c r="H4" s="1"/>
      <c r="I4" s="1"/>
      <c r="J4" s="255" t="s">
        <v>10</v>
      </c>
      <c r="K4" s="256"/>
      <c r="L4" s="255"/>
      <c r="M4" s="255"/>
      <c r="N4" s="255"/>
      <c r="O4" s="255"/>
      <c r="P4" s="255"/>
      <c r="Q4" s="257"/>
      <c r="R4" s="257"/>
    </row>
    <row r="5" spans="1:25" ht="45.75" customHeight="1" x14ac:dyDescent="0.25">
      <c r="A5" s="2"/>
      <c r="B5" s="1"/>
      <c r="C5" s="1"/>
      <c r="D5" s="1"/>
      <c r="E5" s="1"/>
      <c r="F5" s="1"/>
      <c r="G5" s="1"/>
      <c r="H5" s="1"/>
      <c r="I5" s="1"/>
      <c r="J5" s="318" t="s">
        <v>137</v>
      </c>
      <c r="K5" s="318"/>
      <c r="L5" s="318"/>
      <c r="M5" s="318"/>
      <c r="N5" s="318"/>
      <c r="O5" s="318"/>
      <c r="P5" s="318"/>
      <c r="Q5" s="318"/>
      <c r="R5" s="318"/>
    </row>
    <row r="6" spans="1:25" x14ac:dyDescent="0.25">
      <c r="A6" s="2"/>
      <c r="B6" s="1"/>
      <c r="C6" s="1"/>
      <c r="D6" s="1"/>
      <c r="E6" s="1"/>
      <c r="F6" s="1"/>
      <c r="G6" s="1"/>
      <c r="H6" s="1"/>
      <c r="I6" s="1"/>
      <c r="J6" s="1"/>
      <c r="K6" s="232"/>
      <c r="O6" s="1"/>
      <c r="P6" s="1"/>
      <c r="Q6" s="1"/>
      <c r="R6" s="1"/>
    </row>
    <row r="7" spans="1:25" x14ac:dyDescent="0.25">
      <c r="A7" s="2"/>
      <c r="B7" s="1"/>
      <c r="C7" s="1"/>
      <c r="D7" s="1"/>
      <c r="E7" s="1"/>
      <c r="F7" s="1"/>
      <c r="G7" s="1"/>
      <c r="H7" s="1"/>
      <c r="I7" s="1"/>
      <c r="J7" s="1"/>
      <c r="K7" s="232"/>
      <c r="O7" s="1"/>
      <c r="P7" s="1"/>
      <c r="Q7" s="1"/>
      <c r="R7" s="1"/>
    </row>
    <row r="8" spans="1:25" ht="18.75" x14ac:dyDescent="0.25">
      <c r="A8" s="320" t="s">
        <v>1</v>
      </c>
      <c r="B8" s="320"/>
      <c r="C8" s="320"/>
      <c r="D8" s="320"/>
      <c r="E8" s="320"/>
      <c r="F8" s="320"/>
      <c r="G8" s="320"/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0"/>
    </row>
    <row r="9" spans="1:25" ht="18.75" x14ac:dyDescent="0.25">
      <c r="A9" s="320" t="s">
        <v>9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</row>
    <row r="10" spans="1:25" ht="18.75" x14ac:dyDescent="0.25">
      <c r="A10" s="320" t="s">
        <v>7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</row>
    <row r="11" spans="1:25" ht="18.75" x14ac:dyDescent="0.25">
      <c r="A11" s="320" t="s">
        <v>8</v>
      </c>
      <c r="B11" s="320"/>
      <c r="C11" s="320"/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320"/>
      <c r="P11" s="320"/>
      <c r="Q11" s="320"/>
      <c r="R11" s="320"/>
    </row>
    <row r="12" spans="1:25" ht="18.75" x14ac:dyDescent="0.25">
      <c r="A12" s="247"/>
      <c r="B12" s="1"/>
      <c r="C12" s="1"/>
      <c r="D12" s="1"/>
      <c r="E12" s="1"/>
      <c r="F12" s="1"/>
      <c r="G12" s="1"/>
      <c r="H12" s="1"/>
      <c r="I12" s="1"/>
      <c r="J12" s="1"/>
      <c r="K12" s="232"/>
      <c r="O12" s="1"/>
      <c r="P12" s="1"/>
      <c r="Q12" s="1"/>
      <c r="R12" s="1"/>
    </row>
    <row r="13" spans="1:25" ht="24.75" customHeight="1" x14ac:dyDescent="0.25">
      <c r="A13" s="321" t="s">
        <v>19</v>
      </c>
      <c r="B13" s="321" t="s">
        <v>4</v>
      </c>
      <c r="C13" s="321" t="s">
        <v>2</v>
      </c>
      <c r="D13" s="321" t="s">
        <v>89</v>
      </c>
      <c r="E13" s="321" t="s">
        <v>5</v>
      </c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1"/>
    </row>
    <row r="14" spans="1:25" ht="72" customHeight="1" x14ac:dyDescent="0.25">
      <c r="A14" s="321"/>
      <c r="B14" s="321"/>
      <c r="C14" s="321"/>
      <c r="D14" s="321"/>
      <c r="E14" s="321" t="s">
        <v>56</v>
      </c>
      <c r="F14" s="321" t="s">
        <v>57</v>
      </c>
      <c r="G14" s="322" t="s">
        <v>61</v>
      </c>
      <c r="H14" s="321" t="s">
        <v>53</v>
      </c>
      <c r="I14" s="321" t="s">
        <v>54</v>
      </c>
      <c r="J14" s="321" t="s">
        <v>55</v>
      </c>
      <c r="K14" s="321" t="s">
        <v>58</v>
      </c>
      <c r="L14" s="321" t="s">
        <v>255</v>
      </c>
      <c r="M14" s="328" t="s">
        <v>276</v>
      </c>
      <c r="N14" s="328" t="s">
        <v>310</v>
      </c>
      <c r="O14" s="328" t="s">
        <v>320</v>
      </c>
      <c r="P14" s="328" t="s">
        <v>59</v>
      </c>
      <c r="Q14" s="327" t="s">
        <v>6</v>
      </c>
      <c r="R14" s="327"/>
      <c r="Y14" s="142">
        <v>280</v>
      </c>
    </row>
    <row r="15" spans="1:25" x14ac:dyDescent="0.25">
      <c r="A15" s="321"/>
      <c r="B15" s="321"/>
      <c r="C15" s="321"/>
      <c r="D15" s="321"/>
      <c r="E15" s="321"/>
      <c r="F15" s="321"/>
      <c r="G15" s="322"/>
      <c r="H15" s="321"/>
      <c r="I15" s="321"/>
      <c r="J15" s="321"/>
      <c r="K15" s="321"/>
      <c r="L15" s="321"/>
      <c r="M15" s="329"/>
      <c r="N15" s="329"/>
      <c r="O15" s="329"/>
      <c r="P15" s="329"/>
      <c r="Q15" s="248" t="s">
        <v>361</v>
      </c>
      <c r="R15" s="248" t="s">
        <v>60</v>
      </c>
      <c r="Y15" s="142">
        <v>117.5</v>
      </c>
    </row>
    <row r="16" spans="1:25" x14ac:dyDescent="0.25">
      <c r="A16" s="248">
        <v>1</v>
      </c>
      <c r="B16" s="248">
        <v>2</v>
      </c>
      <c r="C16" s="248">
        <v>3</v>
      </c>
      <c r="D16" s="248">
        <v>4</v>
      </c>
      <c r="E16" s="248">
        <v>5</v>
      </c>
      <c r="F16" s="248">
        <v>6</v>
      </c>
      <c r="G16" s="248">
        <v>7</v>
      </c>
      <c r="H16" s="248">
        <v>8</v>
      </c>
      <c r="I16" s="248">
        <v>9</v>
      </c>
      <c r="J16" s="248">
        <v>10</v>
      </c>
      <c r="K16" s="248">
        <v>11</v>
      </c>
      <c r="L16" s="289">
        <v>12</v>
      </c>
      <c r="M16" s="289">
        <v>13</v>
      </c>
      <c r="N16" s="289">
        <v>14</v>
      </c>
      <c r="O16" s="248">
        <v>15</v>
      </c>
      <c r="P16" s="297"/>
      <c r="Q16" s="248">
        <v>16</v>
      </c>
      <c r="R16" s="248">
        <v>17</v>
      </c>
      <c r="Y16" s="142">
        <f>Y14-Y15</f>
        <v>162.5</v>
      </c>
    </row>
    <row r="17" spans="1:25" s="146" customFormat="1" x14ac:dyDescent="0.25">
      <c r="A17" s="249">
        <v>1</v>
      </c>
      <c r="B17" s="326" t="str">
        <f>'пр 5 к МП'!B13:E13</f>
        <v>Цель муниципальной программы Туруханского района: развитие современной и эффективной транспортной инфраструктуры</v>
      </c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</row>
    <row r="18" spans="1:25" s="146" customFormat="1" ht="71.25" customHeight="1" x14ac:dyDescent="0.25">
      <c r="A18" s="324" t="s">
        <v>3</v>
      </c>
      <c r="B18" s="325" t="s">
        <v>134</v>
      </c>
      <c r="C18" s="249" t="s">
        <v>69</v>
      </c>
      <c r="D18" s="258">
        <f>E18</f>
        <v>120.8</v>
      </c>
      <c r="E18" s="32">
        <f>F18</f>
        <v>120.8</v>
      </c>
      <c r="F18" s="32">
        <v>120.8</v>
      </c>
      <c r="G18" s="32">
        <v>130.023</v>
      </c>
      <c r="H18" s="253">
        <v>156.34</v>
      </c>
      <c r="I18" s="243">
        <v>157.30000000000001</v>
      </c>
      <c r="J18" s="243">
        <v>162.30000000000001</v>
      </c>
      <c r="K18" s="243">
        <f t="shared" ref="K18:K19" si="0">J18</f>
        <v>162.30000000000001</v>
      </c>
      <c r="L18" s="243">
        <v>162.5</v>
      </c>
      <c r="M18" s="243">
        <f>L18+0.15</f>
        <v>162.65</v>
      </c>
      <c r="N18" s="243">
        <f t="shared" ref="N18:R18" si="1">M18+0.15</f>
        <v>162.80000000000001</v>
      </c>
      <c r="O18" s="243">
        <f t="shared" si="1"/>
        <v>162.95000000000002</v>
      </c>
      <c r="P18" s="243">
        <f t="shared" si="1"/>
        <v>163.10000000000002</v>
      </c>
      <c r="Q18" s="243">
        <f>O18+0.15</f>
        <v>163.10000000000002</v>
      </c>
      <c r="R18" s="243">
        <f t="shared" si="1"/>
        <v>163.25000000000003</v>
      </c>
      <c r="V18" s="146" t="s">
        <v>311</v>
      </c>
      <c r="W18" s="146">
        <v>280.2</v>
      </c>
    </row>
    <row r="19" spans="1:25" s="146" customFormat="1" ht="71.25" customHeight="1" x14ac:dyDescent="0.25">
      <c r="A19" s="324"/>
      <c r="B19" s="325"/>
      <c r="C19" s="249" t="s">
        <v>133</v>
      </c>
      <c r="D19" s="259">
        <f>E19</f>
        <v>46.39</v>
      </c>
      <c r="E19" s="259">
        <f>F19</f>
        <v>46.39</v>
      </c>
      <c r="F19" s="259">
        <v>46.39</v>
      </c>
      <c r="G19" s="259">
        <v>47.52</v>
      </c>
      <c r="H19" s="260">
        <v>57.14</v>
      </c>
      <c r="I19" s="260">
        <v>57.49</v>
      </c>
      <c r="J19" s="243">
        <v>42.08</v>
      </c>
      <c r="K19" s="243">
        <f t="shared" si="0"/>
        <v>42.08</v>
      </c>
      <c r="L19" s="243">
        <f>L18/Y14*100</f>
        <v>58.035714285714292</v>
      </c>
      <c r="M19" s="243">
        <f>M18/Y14*100</f>
        <v>58.089285714285722</v>
      </c>
      <c r="N19" s="243">
        <f>N18/Y14*100</f>
        <v>58.142857142857153</v>
      </c>
      <c r="O19" s="243">
        <f>O18/Y14*100</f>
        <v>58.196428571428584</v>
      </c>
      <c r="P19" s="243">
        <f>O19</f>
        <v>58.196428571428584</v>
      </c>
      <c r="Q19" s="243">
        <f>Q18/Y14*100</f>
        <v>58.250000000000014</v>
      </c>
      <c r="R19" s="243">
        <f>R18/Y14*100</f>
        <v>58.303571428571445</v>
      </c>
      <c r="V19" s="146" t="s">
        <v>312</v>
      </c>
      <c r="W19" s="146">
        <v>117.9</v>
      </c>
      <c r="Y19" s="146">
        <f>W18-W19</f>
        <v>162.29999999999998</v>
      </c>
    </row>
    <row r="20" spans="1:25" x14ac:dyDescent="0.25">
      <c r="A20" s="248">
        <v>2</v>
      </c>
      <c r="B20" s="323" t="str">
        <f>'пр 5 к МП'!B19:E19</f>
        <v>Цель муниципальной программы Туруханского района: повышение доступности транспортных услуг</v>
      </c>
      <c r="C20" s="323"/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W20" s="142">
        <f>W19/W18</f>
        <v>0.42077087794432549</v>
      </c>
    </row>
    <row r="21" spans="1:25" s="146" customFormat="1" ht="92.25" customHeight="1" x14ac:dyDescent="0.25">
      <c r="A21" s="261" t="s">
        <v>84</v>
      </c>
      <c r="B21" s="250" t="s">
        <v>331</v>
      </c>
      <c r="C21" s="249" t="s">
        <v>121</v>
      </c>
      <c r="D21" s="244">
        <f t="shared" ref="D21:I21" si="2">(D22+D23)*1000/D24</f>
        <v>13.264339719174577</v>
      </c>
      <c r="E21" s="244">
        <f t="shared" si="2"/>
        <v>13.638444873821653</v>
      </c>
      <c r="F21" s="244">
        <f t="shared" si="2"/>
        <v>14.499670875471246</v>
      </c>
      <c r="G21" s="244">
        <f t="shared" si="2"/>
        <v>13.02447428462952</v>
      </c>
      <c r="H21" s="244">
        <f t="shared" si="2"/>
        <v>12.647233936988339</v>
      </c>
      <c r="I21" s="244">
        <f t="shared" si="2"/>
        <v>10.762839884769079</v>
      </c>
      <c r="J21" s="244">
        <f>(J22+J23)*1000/J24</f>
        <v>29.334788189987162</v>
      </c>
      <c r="K21" s="244">
        <f>(K22+K23)*1000/K24</f>
        <v>29.626749611197511</v>
      </c>
      <c r="L21" s="244">
        <f t="shared" ref="L21:R21" si="3">(L22+L23)*1000/L24</f>
        <v>14.784313725490197</v>
      </c>
      <c r="M21" s="244">
        <f t="shared" si="3"/>
        <v>14.802954055290504</v>
      </c>
      <c r="N21" s="244">
        <f t="shared" si="3"/>
        <v>14.821591948764867</v>
      </c>
      <c r="O21" s="244">
        <f t="shared" si="3"/>
        <v>14.840227406390905</v>
      </c>
      <c r="P21" s="244">
        <f t="shared" si="3"/>
        <v>14.858860428646105</v>
      </c>
      <c r="Q21" s="244">
        <f t="shared" si="3"/>
        <v>14.877491016007843</v>
      </c>
      <c r="R21" s="244">
        <f t="shared" si="3"/>
        <v>14.896119168953353</v>
      </c>
    </row>
    <row r="22" spans="1:25" s="151" customFormat="1" ht="31.5" hidden="1" outlineLevel="1" x14ac:dyDescent="0.25">
      <c r="A22" s="147"/>
      <c r="B22" s="148" t="s">
        <v>148</v>
      </c>
      <c r="C22" s="149" t="s">
        <v>77</v>
      </c>
      <c r="D22" s="150">
        <v>9.3330000000000002</v>
      </c>
      <c r="E22" s="150">
        <f>(777+712+747+993+692+638+635+689+608+702+764+974)/1000</f>
        <v>8.9309999999999992</v>
      </c>
      <c r="F22" s="150">
        <f>(667+666+804+826+713+647+657+674+580+594+714+762)/1000</f>
        <v>8.3040000000000003</v>
      </c>
      <c r="G22" s="150">
        <v>8.2880000000000003</v>
      </c>
      <c r="H22" s="150">
        <v>7.5739999999999998</v>
      </c>
      <c r="I22" s="150">
        <v>7.8719999999999999</v>
      </c>
      <c r="J22" s="150">
        <f>7.373+1.983</f>
        <v>9.3559999999999999</v>
      </c>
      <c r="K22" s="150">
        <v>9.3699999999999992</v>
      </c>
      <c r="L22" s="294">
        <v>5.9640000000000004</v>
      </c>
      <c r="M22" s="294">
        <f>L22+0.15</f>
        <v>6.1140000000000008</v>
      </c>
      <c r="N22" s="294">
        <f t="shared" ref="N22:O23" si="4">M22+0.15</f>
        <v>6.2640000000000011</v>
      </c>
      <c r="O22" s="150">
        <f t="shared" si="4"/>
        <v>6.4140000000000015</v>
      </c>
      <c r="P22" s="150">
        <f t="shared" ref="P22:P23" si="5">O22+0.15</f>
        <v>6.5640000000000018</v>
      </c>
      <c r="Q22" s="150">
        <f t="shared" ref="Q22:Q23" si="6">P22+0.15</f>
        <v>6.7140000000000022</v>
      </c>
      <c r="R22" s="150">
        <f t="shared" ref="R22:R23" si="7">Q22+0.15</f>
        <v>6.8640000000000025</v>
      </c>
      <c r="S22" s="146"/>
      <c r="V22" s="151">
        <f>W22/X22</f>
        <v>8750.4156067643489</v>
      </c>
      <c r="W22" s="151">
        <f>745+450+643+899+919+825+673+707</f>
        <v>5861</v>
      </c>
      <c r="X22" s="151">
        <f>AVERAGE(X23:X24)</f>
        <v>0.66979675747849754</v>
      </c>
      <c r="Y22" s="151">
        <f>700*5</f>
        <v>3500</v>
      </c>
    </row>
    <row r="23" spans="1:25" s="151" customFormat="1" ht="31.5" hidden="1" outlineLevel="1" x14ac:dyDescent="0.25">
      <c r="A23" s="147"/>
      <c r="B23" s="148" t="s">
        <v>149</v>
      </c>
      <c r="C23" s="149" t="s">
        <v>77</v>
      </c>
      <c r="D23" s="150">
        <v>224</v>
      </c>
      <c r="E23" s="150">
        <v>224</v>
      </c>
      <c r="F23" s="150">
        <v>234</v>
      </c>
      <c r="G23" s="150">
        <v>205.6129411764706</v>
      </c>
      <c r="H23" s="150">
        <v>196.34999999999997</v>
      </c>
      <c r="I23" s="150">
        <v>162.44994117647065</v>
      </c>
      <c r="J23" s="150">
        <v>447.68</v>
      </c>
      <c r="K23" s="150">
        <f>J23+0.15</f>
        <v>447.83</v>
      </c>
      <c r="L23" s="294">
        <v>220.23599999999999</v>
      </c>
      <c r="M23" s="294">
        <f t="shared" ref="M23" si="8">L23+0.15</f>
        <v>220.386</v>
      </c>
      <c r="N23" s="294">
        <f t="shared" si="4"/>
        <v>220.536</v>
      </c>
      <c r="O23" s="150">
        <f t="shared" si="4"/>
        <v>220.68600000000001</v>
      </c>
      <c r="P23" s="150">
        <f t="shared" si="5"/>
        <v>220.83600000000001</v>
      </c>
      <c r="Q23" s="150">
        <f t="shared" si="6"/>
        <v>220.98600000000002</v>
      </c>
      <c r="R23" s="150">
        <f t="shared" si="7"/>
        <v>221.13600000000002</v>
      </c>
      <c r="S23" s="146"/>
      <c r="V23" s="151">
        <f>777+712+747+993+692+638+635+689+608+702+764+974</f>
        <v>8931</v>
      </c>
      <c r="W23" s="151">
        <f>777+712+747+993+692+638+635+689</f>
        <v>5883</v>
      </c>
      <c r="X23" s="151">
        <f>W23/V23</f>
        <v>0.65871682902250583</v>
      </c>
    </row>
    <row r="24" spans="1:25" s="151" customFormat="1" ht="31.5" hidden="1" outlineLevel="1" x14ac:dyDescent="0.25">
      <c r="A24" s="147"/>
      <c r="B24" s="148" t="s">
        <v>123</v>
      </c>
      <c r="C24" s="149" t="s">
        <v>82</v>
      </c>
      <c r="D24" s="152">
        <v>17591</v>
      </c>
      <c r="E24" s="152">
        <v>17079</v>
      </c>
      <c r="F24" s="152">
        <v>16711</v>
      </c>
      <c r="G24" s="152">
        <v>16423</v>
      </c>
      <c r="H24" s="152">
        <v>16124</v>
      </c>
      <c r="I24" s="152">
        <v>15825</v>
      </c>
      <c r="J24" s="152">
        <v>15580</v>
      </c>
      <c r="K24" s="153">
        <v>15432</v>
      </c>
      <c r="L24" s="295">
        <v>15300</v>
      </c>
      <c r="M24" s="296">
        <f t="shared" ref="M24" si="9">L24+1</f>
        <v>15301</v>
      </c>
      <c r="N24" s="296">
        <f t="shared" ref="N24" si="10">M24+1</f>
        <v>15302</v>
      </c>
      <c r="O24" s="153">
        <f t="shared" ref="O24" si="11">N24+1</f>
        <v>15303</v>
      </c>
      <c r="P24" s="153">
        <f t="shared" ref="P24" si="12">O24+1</f>
        <v>15304</v>
      </c>
      <c r="Q24" s="153">
        <f t="shared" ref="Q24" si="13">P24+1</f>
        <v>15305</v>
      </c>
      <c r="R24" s="153">
        <f t="shared" ref="R24" si="14">Q24+1</f>
        <v>15306</v>
      </c>
      <c r="S24" s="146"/>
      <c r="V24" s="151">
        <f>667+666+804+826+713+647+657+674+580+594+714+762</f>
        <v>8304</v>
      </c>
      <c r="W24" s="151">
        <f>667+666+804+826+713+647+657+674</f>
        <v>5654</v>
      </c>
      <c r="X24" s="151">
        <f>W24/V24</f>
        <v>0.68087668593448936</v>
      </c>
    </row>
    <row r="25" spans="1:25" ht="15.75" customHeight="1" collapsed="1" x14ac:dyDescent="0.25">
      <c r="A25" s="248">
        <v>3</v>
      </c>
      <c r="B25" s="323" t="str">
        <f>'пр 5 к МП'!B29:E29</f>
        <v>Цель муниципальной программы Туруханского района: повышение безопасности дорожного движения</v>
      </c>
      <c r="C25" s="323"/>
      <c r="D25" s="323"/>
      <c r="E25" s="323"/>
      <c r="F25" s="323"/>
      <c r="G25" s="323"/>
      <c r="H25" s="323"/>
      <c r="I25" s="323"/>
      <c r="J25" s="323"/>
      <c r="K25" s="323"/>
      <c r="L25" s="323"/>
      <c r="M25" s="323"/>
      <c r="N25" s="323"/>
      <c r="O25" s="323"/>
      <c r="P25" s="323"/>
      <c r="Q25" s="323"/>
      <c r="R25" s="323"/>
      <c r="S25" s="146"/>
    </row>
    <row r="26" spans="1:25" ht="54" customHeight="1" x14ac:dyDescent="0.25">
      <c r="A26" s="262" t="s">
        <v>115</v>
      </c>
      <c r="B26" s="251" t="s">
        <v>81</v>
      </c>
      <c r="C26" s="248" t="s">
        <v>82</v>
      </c>
      <c r="D26" s="248">
        <v>2</v>
      </c>
      <c r="E26" s="248">
        <v>1</v>
      </c>
      <c r="F26" s="248">
        <v>2</v>
      </c>
      <c r="G26" s="248">
        <v>0</v>
      </c>
      <c r="H26" s="249">
        <v>3</v>
      </c>
      <c r="I26" s="249">
        <v>3</v>
      </c>
      <c r="J26" s="249">
        <v>1</v>
      </c>
      <c r="K26" s="249">
        <v>1</v>
      </c>
      <c r="L26" s="290">
        <v>1</v>
      </c>
      <c r="M26" s="290">
        <f>L26</f>
        <v>1</v>
      </c>
      <c r="N26" s="290">
        <v>1</v>
      </c>
      <c r="O26" s="249">
        <v>1</v>
      </c>
      <c r="P26" s="301">
        <v>1</v>
      </c>
      <c r="Q26" s="249">
        <v>1</v>
      </c>
      <c r="R26" s="249">
        <v>1</v>
      </c>
      <c r="S26" s="146"/>
    </row>
    <row r="27" spans="1:25" s="146" customFormat="1" x14ac:dyDescent="0.25">
      <c r="A27" s="249">
        <v>4</v>
      </c>
      <c r="B27" s="323" t="str">
        <f>'пр 5 к МП'!B34:E34</f>
        <v>Цель муниципальной программы Туруханского района: развитие телекоммуникационных услуг на территории района</v>
      </c>
      <c r="C27" s="323"/>
      <c r="D27" s="323"/>
      <c r="E27" s="323"/>
      <c r="F27" s="323"/>
      <c r="G27" s="323"/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323"/>
    </row>
    <row r="28" spans="1:25" s="146" customFormat="1" ht="47.25" x14ac:dyDescent="0.25">
      <c r="A28" s="261" t="s">
        <v>116</v>
      </c>
      <c r="B28" s="132" t="s">
        <v>88</v>
      </c>
      <c r="C28" s="249" t="s">
        <v>87</v>
      </c>
      <c r="D28" s="249">
        <v>8</v>
      </c>
      <c r="E28" s="249">
        <v>8</v>
      </c>
      <c r="F28" s="249">
        <v>8</v>
      </c>
      <c r="G28" s="249">
        <v>8</v>
      </c>
      <c r="H28" s="249">
        <v>8</v>
      </c>
      <c r="I28" s="249">
        <v>8</v>
      </c>
      <c r="J28" s="233">
        <v>11</v>
      </c>
      <c r="K28" s="233">
        <v>11</v>
      </c>
      <c r="L28" s="290">
        <v>11</v>
      </c>
      <c r="M28" s="290">
        <v>11</v>
      </c>
      <c r="N28" s="290">
        <v>11</v>
      </c>
      <c r="O28" s="249">
        <v>11</v>
      </c>
      <c r="P28" s="301">
        <v>11</v>
      </c>
      <c r="Q28" s="249">
        <v>11</v>
      </c>
      <c r="R28" s="249">
        <v>11</v>
      </c>
    </row>
    <row r="29" spans="1:25" ht="38.25" customHeight="1" x14ac:dyDescent="0.25">
      <c r="A29" s="319" t="s">
        <v>332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19"/>
      <c r="O29" s="319"/>
      <c r="P29" s="319"/>
      <c r="Q29" s="319"/>
      <c r="R29" s="319"/>
    </row>
    <row r="30" spans="1:25" ht="18.75" x14ac:dyDescent="0.25">
      <c r="A30" s="144"/>
    </row>
  </sheetData>
  <mergeCells count="31">
    <mergeCell ref="I14:I15"/>
    <mergeCell ref="B27:R27"/>
    <mergeCell ref="A18:A19"/>
    <mergeCell ref="B18:B19"/>
    <mergeCell ref="J14:J15"/>
    <mergeCell ref="B17:R17"/>
    <mergeCell ref="B20:R20"/>
    <mergeCell ref="B25:R25"/>
    <mergeCell ref="K14:K15"/>
    <mergeCell ref="Q14:R14"/>
    <mergeCell ref="L14:L15"/>
    <mergeCell ref="M14:M15"/>
    <mergeCell ref="O14:O15"/>
    <mergeCell ref="N14:N15"/>
    <mergeCell ref="P14:P15"/>
    <mergeCell ref="J1:R1"/>
    <mergeCell ref="J5:R5"/>
    <mergeCell ref="A29:R29"/>
    <mergeCell ref="A8:R8"/>
    <mergeCell ref="A9:R9"/>
    <mergeCell ref="A10:R10"/>
    <mergeCell ref="A11:R11"/>
    <mergeCell ref="A13:A15"/>
    <mergeCell ref="B13:B15"/>
    <mergeCell ref="C13:C15"/>
    <mergeCell ref="D13:D15"/>
    <mergeCell ref="E13:R13"/>
    <mergeCell ref="E14:E15"/>
    <mergeCell ref="F14:F15"/>
    <mergeCell ref="G14:G15"/>
    <mergeCell ref="H14:H15"/>
  </mergeCells>
  <pageMargins left="0.78740157480314965" right="0.78740157480314965" top="1.1811023622047245" bottom="0.39370078740157483" header="0.31496062992125984" footer="0.31496062992125984"/>
  <pageSetup paperSize="9" scale="5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G39"/>
  <sheetViews>
    <sheetView view="pageBreakPreview" topLeftCell="A22" zoomScaleNormal="100" zoomScaleSheetLayoutView="100" workbookViewId="0">
      <selection activeCell="D25" sqref="D25"/>
    </sheetView>
  </sheetViews>
  <sheetFormatPr defaultColWidth="9" defaultRowHeight="15.75" outlineLevelRow="1" x14ac:dyDescent="0.25"/>
  <cols>
    <col min="1" max="1" width="6.625" style="141" customWidth="1"/>
    <col min="2" max="2" width="15.75" style="142" customWidth="1"/>
    <col min="3" max="3" width="62.125" style="142" customWidth="1"/>
    <col min="4" max="4" width="16.375" style="142" customWidth="1"/>
    <col min="5" max="5" width="16.375" style="186" customWidth="1"/>
    <col min="6" max="6" width="13.25" style="142" customWidth="1"/>
    <col min="7" max="16384" width="9" style="142"/>
  </cols>
  <sheetData>
    <row r="1" spans="1:5" ht="18.75" x14ac:dyDescent="0.25">
      <c r="A1" s="2"/>
      <c r="B1" s="1"/>
      <c r="C1" s="1"/>
      <c r="D1" s="402" t="s">
        <v>161</v>
      </c>
      <c r="E1" s="402"/>
    </row>
    <row r="2" spans="1:5" ht="73.5" customHeight="1" x14ac:dyDescent="0.25">
      <c r="A2" s="2"/>
      <c r="B2" s="1"/>
      <c r="C2" s="1"/>
      <c r="D2" s="318" t="str">
        <f>CONCATENATE("к муниципальной программе Туруханского района """,'+ Приложение 6'!C15,"""")</f>
        <v>к муниципальной программе Туруханского района "Развитие транспортной системы и связи Туруханского района"</v>
      </c>
      <c r="E2" s="318"/>
    </row>
    <row r="3" spans="1:5" ht="18.75" x14ac:dyDescent="0.25">
      <c r="A3" s="214"/>
      <c r="B3" s="1"/>
      <c r="C3" s="1"/>
      <c r="D3" s="1"/>
      <c r="E3" s="222"/>
    </row>
    <row r="4" spans="1:5" ht="18.75" x14ac:dyDescent="0.25">
      <c r="A4" s="214"/>
      <c r="B4" s="1"/>
      <c r="C4" s="1"/>
      <c r="D4" s="1"/>
      <c r="E4" s="222"/>
    </row>
    <row r="5" spans="1:5" ht="18.75" x14ac:dyDescent="0.25">
      <c r="A5" s="320" t="s">
        <v>0</v>
      </c>
      <c r="B5" s="320"/>
      <c r="C5" s="320"/>
      <c r="D5" s="320"/>
      <c r="E5" s="320"/>
    </row>
    <row r="6" spans="1:5" ht="18.75" x14ac:dyDescent="0.25">
      <c r="A6" s="320" t="s">
        <v>16</v>
      </c>
      <c r="B6" s="320"/>
      <c r="C6" s="320"/>
      <c r="D6" s="320"/>
      <c r="E6" s="320"/>
    </row>
    <row r="7" spans="1:5" ht="18.75" x14ac:dyDescent="0.25">
      <c r="A7" s="320" t="s">
        <v>17</v>
      </c>
      <c r="B7" s="320"/>
      <c r="C7" s="320"/>
      <c r="D7" s="320"/>
      <c r="E7" s="320"/>
    </row>
    <row r="8" spans="1:5" ht="18.75" x14ac:dyDescent="0.25">
      <c r="A8" s="320" t="s">
        <v>18</v>
      </c>
      <c r="B8" s="320"/>
      <c r="C8" s="320"/>
      <c r="D8" s="320"/>
      <c r="E8" s="320"/>
    </row>
    <row r="9" spans="1:5" ht="18.75" x14ac:dyDescent="0.25">
      <c r="A9" s="320" t="str">
        <f>CONCATENATE("Туруханского района """,'+ Приложение 6'!C15,"""")</f>
        <v>Туруханского района "Развитие транспортной системы и связи Туруханского района"</v>
      </c>
      <c r="B9" s="320"/>
      <c r="C9" s="320"/>
      <c r="D9" s="320"/>
      <c r="E9" s="320"/>
    </row>
    <row r="10" spans="1:5" ht="18.75" x14ac:dyDescent="0.25">
      <c r="A10" s="214"/>
      <c r="B10" s="1"/>
      <c r="C10" s="1"/>
      <c r="D10" s="1"/>
      <c r="E10" s="222"/>
    </row>
    <row r="11" spans="1:5" ht="63" x14ac:dyDescent="0.25">
      <c r="A11" s="215" t="s">
        <v>19</v>
      </c>
      <c r="B11" s="215" t="s">
        <v>11</v>
      </c>
      <c r="C11" s="215" t="s">
        <v>12</v>
      </c>
      <c r="D11" s="215" t="s">
        <v>13</v>
      </c>
      <c r="E11" s="223" t="s">
        <v>14</v>
      </c>
    </row>
    <row r="12" spans="1:5" x14ac:dyDescent="0.25">
      <c r="A12" s="215">
        <v>1</v>
      </c>
      <c r="B12" s="215">
        <v>2</v>
      </c>
      <c r="C12" s="215">
        <v>3</v>
      </c>
      <c r="D12" s="215">
        <v>4</v>
      </c>
      <c r="E12" s="215">
        <v>5</v>
      </c>
    </row>
    <row r="13" spans="1:5" ht="41.25" customHeight="1" x14ac:dyDescent="0.25">
      <c r="A13" s="224">
        <v>1</v>
      </c>
      <c r="B13" s="403" t="s">
        <v>150</v>
      </c>
      <c r="C13" s="403"/>
      <c r="D13" s="403"/>
      <c r="E13" s="403"/>
    </row>
    <row r="14" spans="1:5" ht="36" customHeight="1" x14ac:dyDescent="0.25">
      <c r="A14" s="321" t="s">
        <v>3</v>
      </c>
      <c r="B14" s="323" t="s">
        <v>151</v>
      </c>
      <c r="C14" s="323"/>
      <c r="D14" s="323"/>
      <c r="E14" s="323"/>
    </row>
    <row r="15" spans="1:5" ht="39.75" customHeight="1" x14ac:dyDescent="0.25">
      <c r="A15" s="321"/>
      <c r="B15" s="388" t="str">
        <f>CONCATENATE("Подпрограмма 1 """,'+ Приложение 6'!C21,"""")</f>
        <v>Подпрограмма 1 "Развитие транспортного комплекса, обеспечение сохранности и модернизации автомобильных дорог Туруханского района"</v>
      </c>
      <c r="C15" s="388"/>
      <c r="D15" s="388"/>
      <c r="E15" s="388"/>
    </row>
    <row r="16" spans="1:5" ht="78.75" x14ac:dyDescent="0.25">
      <c r="A16" s="213" t="s">
        <v>125</v>
      </c>
      <c r="B16" s="132" t="s">
        <v>152</v>
      </c>
      <c r="C16" s="132" t="s">
        <v>153</v>
      </c>
      <c r="D16" s="213" t="s">
        <v>66</v>
      </c>
      <c r="E16" s="226">
        <v>43435</v>
      </c>
    </row>
    <row r="17" spans="1:7" ht="78.75" x14ac:dyDescent="0.25">
      <c r="A17" s="213" t="s">
        <v>157</v>
      </c>
      <c r="B17" s="132" t="s">
        <v>152</v>
      </c>
      <c r="C17" s="132" t="s">
        <v>154</v>
      </c>
      <c r="D17" s="213" t="s">
        <v>66</v>
      </c>
      <c r="E17" s="226">
        <v>43525</v>
      </c>
    </row>
    <row r="18" spans="1:7" ht="31.5" x14ac:dyDescent="0.25">
      <c r="A18" s="213" t="s">
        <v>158</v>
      </c>
      <c r="B18" s="132" t="s">
        <v>152</v>
      </c>
      <c r="C18" s="132" t="s">
        <v>155</v>
      </c>
      <c r="D18" s="213" t="s">
        <v>156</v>
      </c>
      <c r="E18" s="226">
        <v>43405</v>
      </c>
    </row>
    <row r="19" spans="1:7" ht="18" customHeight="1" x14ac:dyDescent="0.25">
      <c r="A19" s="224">
        <v>2</v>
      </c>
      <c r="B19" s="403" t="s">
        <v>146</v>
      </c>
      <c r="C19" s="403"/>
      <c r="D19" s="403"/>
      <c r="E19" s="403"/>
    </row>
    <row r="20" spans="1:7" ht="18" customHeight="1" x14ac:dyDescent="0.25">
      <c r="A20" s="321" t="s">
        <v>84</v>
      </c>
      <c r="B20" s="323" t="s">
        <v>124</v>
      </c>
      <c r="C20" s="323"/>
      <c r="D20" s="323"/>
      <c r="E20" s="323"/>
    </row>
    <row r="21" spans="1:7" ht="18" customHeight="1" x14ac:dyDescent="0.25">
      <c r="A21" s="321"/>
      <c r="B21" s="388" t="str">
        <f>CONCATENATE("Подпрограмма 2 """,'+ Приложение 6'!C25,"""")</f>
        <v>Подпрограмма 2 "Организация транспортного обслуживания  на территории Туруханского района"</v>
      </c>
      <c r="C21" s="388"/>
      <c r="D21" s="388"/>
      <c r="E21" s="388"/>
    </row>
    <row r="22" spans="1:7" ht="189" x14ac:dyDescent="0.25">
      <c r="A22" s="215" t="s">
        <v>126</v>
      </c>
      <c r="B22" s="307" t="s">
        <v>294</v>
      </c>
      <c r="C22" s="131" t="s">
        <v>109</v>
      </c>
      <c r="D22" s="215" t="s">
        <v>93</v>
      </c>
      <c r="E22" s="226">
        <v>43435</v>
      </c>
    </row>
    <row r="23" spans="1:7" ht="204.75" x14ac:dyDescent="0.25">
      <c r="A23" s="215" t="s">
        <v>128</v>
      </c>
      <c r="B23" s="307" t="s">
        <v>294</v>
      </c>
      <c r="C23" s="131" t="s">
        <v>108</v>
      </c>
      <c r="D23" s="215" t="s">
        <v>93</v>
      </c>
      <c r="E23" s="226">
        <v>43435</v>
      </c>
    </row>
    <row r="24" spans="1:7" x14ac:dyDescent="0.25">
      <c r="A24" s="297" t="s">
        <v>277</v>
      </c>
      <c r="B24" s="399" t="s">
        <v>368</v>
      </c>
      <c r="C24" s="400"/>
      <c r="D24" s="400"/>
      <c r="E24" s="401"/>
    </row>
    <row r="25" spans="1:7" ht="63" x14ac:dyDescent="0.25">
      <c r="A25" s="297" t="s">
        <v>370</v>
      </c>
      <c r="B25" s="307" t="s">
        <v>294</v>
      </c>
      <c r="C25" s="298" t="s">
        <v>364</v>
      </c>
      <c r="D25" s="297" t="s">
        <v>93</v>
      </c>
      <c r="E25" s="314" t="s">
        <v>366</v>
      </c>
      <c r="F25" s="312"/>
      <c r="G25" s="313" t="s">
        <v>365</v>
      </c>
    </row>
    <row r="26" spans="1:7" ht="63" x14ac:dyDescent="0.25">
      <c r="A26" s="297" t="s">
        <v>371</v>
      </c>
      <c r="B26" s="307" t="s">
        <v>294</v>
      </c>
      <c r="C26" s="298" t="s">
        <v>367</v>
      </c>
      <c r="D26" s="297" t="s">
        <v>93</v>
      </c>
      <c r="E26" s="226" t="s">
        <v>369</v>
      </c>
    </row>
    <row r="27" spans="1:7" ht="63" x14ac:dyDescent="0.25">
      <c r="A27" s="297" t="s">
        <v>372</v>
      </c>
      <c r="B27" s="307" t="s">
        <v>294</v>
      </c>
      <c r="C27" s="315" t="s">
        <v>362</v>
      </c>
      <c r="D27" s="297" t="s">
        <v>93</v>
      </c>
      <c r="E27" s="226" t="s">
        <v>363</v>
      </c>
    </row>
    <row r="28" spans="1:7" ht="63" x14ac:dyDescent="0.25">
      <c r="A28" s="297" t="s">
        <v>373</v>
      </c>
      <c r="B28" s="307" t="s">
        <v>294</v>
      </c>
      <c r="C28" s="307" t="s">
        <v>295</v>
      </c>
      <c r="D28" s="297" t="s">
        <v>65</v>
      </c>
      <c r="E28" s="223">
        <v>43891</v>
      </c>
    </row>
    <row r="29" spans="1:7" ht="19.5" customHeight="1" x14ac:dyDescent="0.25">
      <c r="A29" s="224">
        <v>3</v>
      </c>
      <c r="B29" s="396" t="s">
        <v>120</v>
      </c>
      <c r="C29" s="397"/>
      <c r="D29" s="397"/>
      <c r="E29" s="398"/>
    </row>
    <row r="30" spans="1:7" ht="24" customHeight="1" x14ac:dyDescent="0.25">
      <c r="A30" s="328" t="s">
        <v>115</v>
      </c>
      <c r="B30" s="392" t="s">
        <v>130</v>
      </c>
      <c r="C30" s="393"/>
      <c r="D30" s="393"/>
      <c r="E30" s="394"/>
    </row>
    <row r="31" spans="1:7" ht="17.25" customHeight="1" x14ac:dyDescent="0.25">
      <c r="A31" s="329"/>
      <c r="B31" s="389" t="str">
        <f>CONCATENATE("Подпрограмма 3 """,'+ Приложение 6'!C30,"""")</f>
        <v>Подпрограмма 3 "Безопасность дорожного движения в Туруханском районе"</v>
      </c>
      <c r="C31" s="390"/>
      <c r="D31" s="390"/>
      <c r="E31" s="391"/>
    </row>
    <row r="32" spans="1:7" hidden="1" outlineLevel="1" x14ac:dyDescent="0.25">
      <c r="A32" s="227" t="s">
        <v>127</v>
      </c>
      <c r="B32" s="228"/>
      <c r="C32" s="228"/>
      <c r="D32" s="228"/>
      <c r="E32" s="229"/>
    </row>
    <row r="33" spans="1:5" hidden="1" outlineLevel="1" x14ac:dyDescent="0.25">
      <c r="A33" s="215"/>
      <c r="B33" s="131"/>
      <c r="C33" s="131"/>
      <c r="D33" s="131"/>
      <c r="E33" s="230"/>
    </row>
    <row r="34" spans="1:5" collapsed="1" x14ac:dyDescent="0.25">
      <c r="A34" s="224">
        <v>4</v>
      </c>
      <c r="B34" s="395" t="s">
        <v>147</v>
      </c>
      <c r="C34" s="395"/>
      <c r="D34" s="395"/>
      <c r="E34" s="395"/>
    </row>
    <row r="35" spans="1:5" ht="78.75" x14ac:dyDescent="0.25">
      <c r="A35" s="215" t="s">
        <v>129</v>
      </c>
      <c r="B35" s="131" t="s">
        <v>112</v>
      </c>
      <c r="C35" s="131" t="s">
        <v>110</v>
      </c>
      <c r="D35" s="215" t="s">
        <v>111</v>
      </c>
      <c r="E35" s="223">
        <v>43435</v>
      </c>
    </row>
    <row r="36" spans="1:5" ht="31.5" customHeight="1" x14ac:dyDescent="0.25">
      <c r="A36" s="142"/>
      <c r="E36" s="142"/>
    </row>
    <row r="37" spans="1:5" x14ac:dyDescent="0.25">
      <c r="A37" s="142"/>
      <c r="E37" s="142"/>
    </row>
    <row r="38" spans="1:5" x14ac:dyDescent="0.25">
      <c r="A38" s="142"/>
      <c r="E38" s="142"/>
    </row>
    <row r="39" spans="1:5" x14ac:dyDescent="0.25">
      <c r="A39" s="142"/>
      <c r="E39" s="142"/>
    </row>
  </sheetData>
  <mergeCells count="21">
    <mergeCell ref="B34:E34"/>
    <mergeCell ref="B29:E29"/>
    <mergeCell ref="B24:E24"/>
    <mergeCell ref="D1:E1"/>
    <mergeCell ref="D2:E2"/>
    <mergeCell ref="B19:E19"/>
    <mergeCell ref="B20:E20"/>
    <mergeCell ref="B13:E13"/>
    <mergeCell ref="B14:E14"/>
    <mergeCell ref="A5:E5"/>
    <mergeCell ref="A6:E6"/>
    <mergeCell ref="A7:E7"/>
    <mergeCell ref="A8:E8"/>
    <mergeCell ref="A9:E9"/>
    <mergeCell ref="A14:A15"/>
    <mergeCell ref="A20:A21"/>
    <mergeCell ref="A30:A31"/>
    <mergeCell ref="B15:E15"/>
    <mergeCell ref="B21:E21"/>
    <mergeCell ref="B31:E31"/>
    <mergeCell ref="B30:E30"/>
  </mergeCells>
  <pageMargins left="1.1811023622047245" right="0.78740157480314965" top="0.78740157480314965" bottom="0.39370078740157483" header="0.31496062992125984" footer="0.31496062992125984"/>
  <pageSetup paperSize="9" scale="64" fitToHeight="0" orientation="portrait" r:id="rId1"/>
  <rowBreaks count="2" manualBreakCount="2">
    <brk id="26" max="4" man="1"/>
    <brk id="35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O55"/>
  <sheetViews>
    <sheetView view="pageBreakPreview" topLeftCell="A2" zoomScale="70" zoomScaleNormal="70" zoomScaleSheetLayoutView="70" zoomScalePageLayoutView="85" workbookViewId="0">
      <selection activeCell="K15" sqref="K15"/>
    </sheetView>
  </sheetViews>
  <sheetFormatPr defaultColWidth="9" defaultRowHeight="15.75" outlineLevelRow="1" x14ac:dyDescent="0.25"/>
  <cols>
    <col min="1" max="1" width="4.875" style="141" customWidth="1"/>
    <col min="2" max="2" width="16.625" style="142" customWidth="1"/>
    <col min="3" max="3" width="17.375" style="142" customWidth="1"/>
    <col min="4" max="4" width="25.625" style="142" customWidth="1"/>
    <col min="5" max="5" width="9" style="141"/>
    <col min="6" max="8" width="9" style="142"/>
    <col min="9" max="9" width="14.625" style="142" customWidth="1"/>
    <col min="10" max="10" width="18.625" style="142" bestFit="1" customWidth="1"/>
    <col min="11" max="11" width="18" style="142" customWidth="1"/>
    <col min="12" max="12" width="18.125" style="142" bestFit="1" customWidth="1"/>
    <col min="13" max="13" width="9" style="142"/>
    <col min="14" max="14" width="30.375" style="142" customWidth="1"/>
    <col min="15" max="16384" width="9" style="142"/>
  </cols>
  <sheetData>
    <row r="1" spans="1:12" ht="84" hidden="1" customHeight="1" outlineLevel="1" x14ac:dyDescent="0.3">
      <c r="J1" s="361" t="s">
        <v>351</v>
      </c>
      <c r="K1" s="409"/>
      <c r="L1" s="409"/>
    </row>
    <row r="2" spans="1:12" s="1" customFormat="1" ht="24.75" customHeight="1" collapsed="1" x14ac:dyDescent="0.3">
      <c r="A2" s="2"/>
      <c r="E2" s="2"/>
      <c r="J2" s="237" t="s">
        <v>315</v>
      </c>
      <c r="K2" s="221"/>
      <c r="L2" s="238"/>
    </row>
    <row r="3" spans="1:12" s="1" customFormat="1" ht="66" customHeight="1" x14ac:dyDescent="0.25">
      <c r="A3" s="2"/>
      <c r="E3" s="2"/>
      <c r="J3" s="318" t="str">
        <f>CONCATENATE("к муниципальной программе Туруханского района """,'+ Приложение 6'!C15,"""")</f>
        <v>к муниципальной программе Туруханского района "Развитие транспортной системы и связи Туруханского района"</v>
      </c>
      <c r="K3" s="318"/>
      <c r="L3" s="318"/>
    </row>
    <row r="4" spans="1:12" ht="18.75" x14ac:dyDescent="0.25">
      <c r="A4" s="144"/>
    </row>
    <row r="5" spans="1:12" ht="18.75" x14ac:dyDescent="0.25">
      <c r="A5" s="144"/>
    </row>
    <row r="6" spans="1:12" ht="18.75" x14ac:dyDescent="0.25">
      <c r="A6" s="320" t="s">
        <v>0</v>
      </c>
      <c r="B6" s="320"/>
      <c r="C6" s="320"/>
      <c r="D6" s="320"/>
      <c r="E6" s="320"/>
      <c r="F6" s="320"/>
      <c r="G6" s="320"/>
      <c r="H6" s="320"/>
      <c r="I6" s="320"/>
      <c r="J6" s="320"/>
      <c r="K6" s="320"/>
      <c r="L6" s="320"/>
    </row>
    <row r="7" spans="1:12" ht="18.75" x14ac:dyDescent="0.25">
      <c r="A7" s="320" t="s">
        <v>113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</row>
    <row r="8" spans="1:12" ht="18.75" x14ac:dyDescent="0.25">
      <c r="A8" s="320" t="s">
        <v>114</v>
      </c>
      <c r="B8" s="320"/>
      <c r="C8" s="320"/>
      <c r="D8" s="320"/>
      <c r="E8" s="320"/>
      <c r="F8" s="320"/>
      <c r="G8" s="320"/>
      <c r="H8" s="320"/>
      <c r="I8" s="320"/>
      <c r="J8" s="320"/>
      <c r="K8" s="320"/>
      <c r="L8" s="320"/>
    </row>
    <row r="9" spans="1:12" ht="18.75" x14ac:dyDescent="0.25">
      <c r="A9" s="320" t="s">
        <v>36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  <c r="L9" s="320"/>
    </row>
    <row r="10" spans="1:12" ht="18.75" x14ac:dyDescent="0.25">
      <c r="A10" s="220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</row>
    <row r="11" spans="1:12" ht="18.75" x14ac:dyDescent="0.25">
      <c r="A11" s="2"/>
      <c r="B11" s="1"/>
      <c r="C11" s="1"/>
      <c r="D11" s="1"/>
      <c r="E11" s="2"/>
      <c r="F11" s="1"/>
      <c r="G11" s="1"/>
      <c r="H11" s="1"/>
      <c r="I11" s="1"/>
      <c r="J11" s="1"/>
      <c r="K11" s="1"/>
      <c r="L11" s="3" t="s">
        <v>207</v>
      </c>
    </row>
    <row r="12" spans="1:12" ht="36" customHeight="1" x14ac:dyDescent="0.25">
      <c r="A12" s="406" t="s">
        <v>19</v>
      </c>
      <c r="B12" s="407" t="s">
        <v>33</v>
      </c>
      <c r="C12" s="406" t="s">
        <v>34</v>
      </c>
      <c r="D12" s="406" t="s">
        <v>22</v>
      </c>
      <c r="E12" s="406" t="s">
        <v>23</v>
      </c>
      <c r="F12" s="406"/>
      <c r="G12" s="406"/>
      <c r="H12" s="406"/>
      <c r="I12" s="218">
        <v>2023</v>
      </c>
      <c r="J12" s="218">
        <f>I12+1</f>
        <v>2024</v>
      </c>
      <c r="K12" s="218">
        <f>J12+1</f>
        <v>2025</v>
      </c>
      <c r="L12" s="406" t="s">
        <v>24</v>
      </c>
    </row>
    <row r="13" spans="1:12" ht="36" customHeight="1" x14ac:dyDescent="0.25">
      <c r="A13" s="406"/>
      <c r="B13" s="407"/>
      <c r="C13" s="406"/>
      <c r="D13" s="406"/>
      <c r="E13" s="218" t="s">
        <v>25</v>
      </c>
      <c r="F13" s="218" t="s">
        <v>26</v>
      </c>
      <c r="G13" s="218" t="s">
        <v>27</v>
      </c>
      <c r="H13" s="218" t="s">
        <v>28</v>
      </c>
      <c r="I13" s="218" t="s">
        <v>29</v>
      </c>
      <c r="J13" s="218" t="s">
        <v>29</v>
      </c>
      <c r="K13" s="218" t="s">
        <v>29</v>
      </c>
      <c r="L13" s="406"/>
    </row>
    <row r="14" spans="1:12" x14ac:dyDescent="0.25">
      <c r="A14" s="219">
        <v>1</v>
      </c>
      <c r="B14" s="219">
        <v>2</v>
      </c>
      <c r="C14" s="219">
        <v>3</v>
      </c>
      <c r="D14" s="219">
        <v>4</v>
      </c>
      <c r="E14" s="219">
        <v>5</v>
      </c>
      <c r="F14" s="219">
        <v>6</v>
      </c>
      <c r="G14" s="219">
        <v>7</v>
      </c>
      <c r="H14" s="219">
        <v>8</v>
      </c>
      <c r="I14" s="219">
        <v>9</v>
      </c>
      <c r="J14" s="219">
        <v>10</v>
      </c>
      <c r="K14" s="219">
        <v>11</v>
      </c>
      <c r="L14" s="219">
        <v>12</v>
      </c>
    </row>
    <row r="15" spans="1:12" s="288" customFormat="1" ht="63" x14ac:dyDescent="0.25">
      <c r="A15" s="410">
        <v>1</v>
      </c>
      <c r="B15" s="408" t="s">
        <v>39</v>
      </c>
      <c r="C15" s="408" t="s">
        <v>102</v>
      </c>
      <c r="D15" s="287" t="s">
        <v>103</v>
      </c>
      <c r="E15" s="233" t="s">
        <v>30</v>
      </c>
      <c r="F15" s="233" t="s">
        <v>30</v>
      </c>
      <c r="G15" s="233" t="s">
        <v>30</v>
      </c>
      <c r="H15" s="233" t="s">
        <v>30</v>
      </c>
      <c r="I15" s="115">
        <f>SUM(I17:I20)</f>
        <v>309078.45799999998</v>
      </c>
      <c r="J15" s="115">
        <f t="shared" ref="J15:K15" si="0">SUM(J17:J20)</f>
        <v>303578.45799999998</v>
      </c>
      <c r="K15" s="115">
        <f t="shared" si="0"/>
        <v>303578.45799999998</v>
      </c>
      <c r="L15" s="115">
        <f>SUM(I15:K15)</f>
        <v>916235.37399999995</v>
      </c>
    </row>
    <row r="16" spans="1:12" s="288" customFormat="1" x14ac:dyDescent="0.25">
      <c r="A16" s="410"/>
      <c r="B16" s="408"/>
      <c r="C16" s="408"/>
      <c r="D16" s="287" t="s">
        <v>31</v>
      </c>
      <c r="E16" s="233"/>
      <c r="F16" s="233" t="s">
        <v>30</v>
      </c>
      <c r="G16" s="233" t="s">
        <v>30</v>
      </c>
      <c r="H16" s="233" t="s">
        <v>30</v>
      </c>
      <c r="I16" s="115"/>
      <c r="J16" s="115"/>
      <c r="K16" s="115"/>
      <c r="L16" s="115">
        <f>SUM(I16:K16)</f>
        <v>0</v>
      </c>
    </row>
    <row r="17" spans="1:15" s="288" customFormat="1" ht="31.5" x14ac:dyDescent="0.25">
      <c r="A17" s="410"/>
      <c r="B17" s="408"/>
      <c r="C17" s="408"/>
      <c r="D17" s="287" t="s">
        <v>65</v>
      </c>
      <c r="E17" s="233">
        <v>241</v>
      </c>
      <c r="F17" s="233" t="s">
        <v>30</v>
      </c>
      <c r="G17" s="233" t="s">
        <v>30</v>
      </c>
      <c r="H17" s="233" t="s">
        <v>30</v>
      </c>
      <c r="I17" s="115">
        <f>SUMIF($D$21:$D$37,$D17,I$21:I$37)</f>
        <v>215573.87299999999</v>
      </c>
      <c r="J17" s="115">
        <f t="shared" ref="J17:K17" si="1">SUMIF($D$21:$D$37,$D17,J$21:J$37)</f>
        <v>215573.87299999999</v>
      </c>
      <c r="K17" s="115">
        <f t="shared" si="1"/>
        <v>215573.87299999999</v>
      </c>
      <c r="L17" s="115">
        <f>SUM(I17:K17)</f>
        <v>646721.61899999995</v>
      </c>
    </row>
    <row r="18" spans="1:15" s="288" customFormat="1" ht="47.25" x14ac:dyDescent="0.25">
      <c r="A18" s="410"/>
      <c r="B18" s="408"/>
      <c r="C18" s="408"/>
      <c r="D18" s="287" t="s">
        <v>94</v>
      </c>
      <c r="E18" s="233">
        <v>242</v>
      </c>
      <c r="F18" s="233" t="s">
        <v>30</v>
      </c>
      <c r="G18" s="233" t="s">
        <v>30</v>
      </c>
      <c r="H18" s="233" t="s">
        <v>30</v>
      </c>
      <c r="I18" s="115">
        <f t="shared" ref="I18:K20" si="2">SUMIF($D$21:$D$37,$D18,I$21:I$37)</f>
        <v>1650.83</v>
      </c>
      <c r="J18" s="115">
        <f t="shared" si="2"/>
        <v>1650.83</v>
      </c>
      <c r="K18" s="115">
        <f t="shared" si="2"/>
        <v>1650.83</v>
      </c>
      <c r="L18" s="115">
        <f>SUM(I18:K18)</f>
        <v>4952.49</v>
      </c>
    </row>
    <row r="19" spans="1:15" s="288" customFormat="1" ht="63" x14ac:dyDescent="0.25">
      <c r="A19" s="410"/>
      <c r="B19" s="408"/>
      <c r="C19" s="408"/>
      <c r="D19" s="287" t="s">
        <v>66</v>
      </c>
      <c r="E19" s="233">
        <v>247</v>
      </c>
      <c r="F19" s="233" t="s">
        <v>30</v>
      </c>
      <c r="G19" s="233" t="s">
        <v>30</v>
      </c>
      <c r="H19" s="233" t="s">
        <v>30</v>
      </c>
      <c r="I19" s="115">
        <f>I24+I32</f>
        <v>91853.755000000005</v>
      </c>
      <c r="J19" s="115">
        <f>J24+J32</f>
        <v>86353.755000000005</v>
      </c>
      <c r="K19" s="115">
        <f>K24+K32</f>
        <v>86353.755000000005</v>
      </c>
      <c r="L19" s="115">
        <f>I19+J19+K19</f>
        <v>264561.26500000001</v>
      </c>
    </row>
    <row r="20" spans="1:15" s="288" customFormat="1" ht="47.25" x14ac:dyDescent="0.25">
      <c r="A20" s="410"/>
      <c r="B20" s="408"/>
      <c r="C20" s="408"/>
      <c r="D20" s="287" t="s">
        <v>213</v>
      </c>
      <c r="E20" s="233">
        <v>243</v>
      </c>
      <c r="F20" s="233" t="s">
        <v>30</v>
      </c>
      <c r="G20" s="233" t="s">
        <v>30</v>
      </c>
      <c r="H20" s="233" t="s">
        <v>30</v>
      </c>
      <c r="I20" s="115">
        <f t="shared" si="2"/>
        <v>0</v>
      </c>
      <c r="J20" s="115">
        <f t="shared" si="2"/>
        <v>0</v>
      </c>
      <c r="K20" s="115">
        <f t="shared" si="2"/>
        <v>0</v>
      </c>
      <c r="L20" s="115">
        <f>SUM(I20:K20)</f>
        <v>0</v>
      </c>
    </row>
    <row r="21" spans="1:15" ht="78.75" x14ac:dyDescent="0.25">
      <c r="A21" s="404" t="s">
        <v>3</v>
      </c>
      <c r="B21" s="405" t="s">
        <v>15</v>
      </c>
      <c r="C21" s="405" t="s">
        <v>117</v>
      </c>
      <c r="D21" s="225" t="s">
        <v>35</v>
      </c>
      <c r="E21" s="219"/>
      <c r="F21" s="219" t="s">
        <v>30</v>
      </c>
      <c r="G21" s="219" t="s">
        <v>30</v>
      </c>
      <c r="H21" s="219" t="s">
        <v>30</v>
      </c>
      <c r="I21" s="115">
        <f>I23+I24</f>
        <v>93504.585000000006</v>
      </c>
      <c r="J21" s="115">
        <f t="shared" ref="J21:K21" si="3">J23+J24</f>
        <v>88004.585000000006</v>
      </c>
      <c r="K21" s="115">
        <f t="shared" si="3"/>
        <v>88004.585000000006</v>
      </c>
      <c r="L21" s="115">
        <f>L23+L24</f>
        <v>269513.755</v>
      </c>
      <c r="N21" s="236">
        <f>I21+J21+K21</f>
        <v>269513.755</v>
      </c>
      <c r="O21" s="236">
        <f>N21-L21</f>
        <v>0</v>
      </c>
    </row>
    <row r="22" spans="1:15" x14ac:dyDescent="0.25">
      <c r="A22" s="404"/>
      <c r="B22" s="405"/>
      <c r="C22" s="405"/>
      <c r="D22" s="225" t="s">
        <v>31</v>
      </c>
      <c r="E22" s="219"/>
      <c r="F22" s="219" t="s">
        <v>30</v>
      </c>
      <c r="G22" s="219" t="s">
        <v>30</v>
      </c>
      <c r="H22" s="219" t="s">
        <v>30</v>
      </c>
      <c r="I22" s="115"/>
      <c r="J22" s="115"/>
      <c r="K22" s="115"/>
      <c r="L22" s="115">
        <f>SUM(I22:K22)</f>
        <v>0</v>
      </c>
    </row>
    <row r="23" spans="1:15" ht="57" customHeight="1" x14ac:dyDescent="0.25">
      <c r="A23" s="404"/>
      <c r="B23" s="405"/>
      <c r="C23" s="405"/>
      <c r="D23" s="225" t="s">
        <v>94</v>
      </c>
      <c r="E23" s="219">
        <f>E18</f>
        <v>242</v>
      </c>
      <c r="F23" s="219" t="s">
        <v>30</v>
      </c>
      <c r="G23" s="219" t="s">
        <v>30</v>
      </c>
      <c r="H23" s="219" t="s">
        <v>30</v>
      </c>
      <c r="I23" s="115">
        <f>'пр к ПП1'!I19</f>
        <v>1650.83</v>
      </c>
      <c r="J23" s="115">
        <f>'пр к ПП1'!J19</f>
        <v>1650.83</v>
      </c>
      <c r="K23" s="115">
        <f>'пр к ПП1'!K19</f>
        <v>1650.83</v>
      </c>
      <c r="L23" s="115">
        <f>SUM(I23:K23)</f>
        <v>4952.49</v>
      </c>
      <c r="N23" s="212"/>
    </row>
    <row r="24" spans="1:15" ht="63" x14ac:dyDescent="0.25">
      <c r="A24" s="404"/>
      <c r="B24" s="405"/>
      <c r="C24" s="405"/>
      <c r="D24" s="225" t="s">
        <v>66</v>
      </c>
      <c r="E24" s="219">
        <f>E19</f>
        <v>247</v>
      </c>
      <c r="F24" s="219" t="s">
        <v>30</v>
      </c>
      <c r="G24" s="219" t="s">
        <v>30</v>
      </c>
      <c r="H24" s="219" t="s">
        <v>30</v>
      </c>
      <c r="I24" s="115">
        <f>'пр к ПП1'!I15+'пр к ПП1'!I17+'пр к ПП1'!I20+'пр к ПП1'!I22+'пр к ПП1'!I26+'пр к ПП1'!I27+'пр к ПП1'!I29+'пр к ПП1'!I31+'пр к ПП1'!I33</f>
        <v>91853.755000000005</v>
      </c>
      <c r="J24" s="115">
        <f>'пр к ПП1'!J15+'пр к ПП1'!J17+'пр к ПП1'!J20+'пр к ПП1'!J22+'пр к ПП1'!J26+'пр к ПП1'!J27+'пр к ПП1'!J29+'пр к ПП1'!J31+'пр к ПП1'!J33</f>
        <v>86353.755000000005</v>
      </c>
      <c r="K24" s="115">
        <f>'пр к ПП1'!K15+'пр к ПП1'!K17+'пр к ПП1'!K20+'пр к ПП1'!K22+'пр к ПП1'!K26+'пр к ПП1'!K27+'пр к ПП1'!K29+'пр к ПП1'!K31+'пр к ПП1'!K33</f>
        <v>86353.755000000005</v>
      </c>
      <c r="L24" s="115">
        <f>SUM(I24:K24)</f>
        <v>264561.26500000001</v>
      </c>
    </row>
    <row r="25" spans="1:15" ht="31.5" x14ac:dyDescent="0.25">
      <c r="A25" s="404" t="s">
        <v>83</v>
      </c>
      <c r="B25" s="405" t="s">
        <v>90</v>
      </c>
      <c r="C25" s="405" t="s">
        <v>97</v>
      </c>
      <c r="D25" s="131" t="s">
        <v>32</v>
      </c>
      <c r="E25" s="130"/>
      <c r="F25" s="130" t="s">
        <v>30</v>
      </c>
      <c r="G25" s="130" t="s">
        <v>30</v>
      </c>
      <c r="H25" s="130" t="s">
        <v>30</v>
      </c>
      <c r="I25" s="115">
        <f>I27+I28+I29</f>
        <v>199973.87299999999</v>
      </c>
      <c r="J25" s="115">
        <f t="shared" ref="J25:K25" si="4">J27+J28+J29</f>
        <v>199973.87299999999</v>
      </c>
      <c r="K25" s="115">
        <f t="shared" si="4"/>
        <v>199973.87299999999</v>
      </c>
      <c r="L25" s="115">
        <f>L27+L28+L29</f>
        <v>599921.61899999995</v>
      </c>
    </row>
    <row r="26" spans="1:15" x14ac:dyDescent="0.25">
      <c r="A26" s="404"/>
      <c r="B26" s="405"/>
      <c r="C26" s="405"/>
      <c r="D26" s="131" t="s">
        <v>31</v>
      </c>
      <c r="E26" s="130"/>
      <c r="F26" s="130" t="s">
        <v>30</v>
      </c>
      <c r="G26" s="130" t="s">
        <v>30</v>
      </c>
      <c r="H26" s="130" t="s">
        <v>30</v>
      </c>
      <c r="I26" s="115"/>
      <c r="J26" s="115"/>
      <c r="K26" s="115"/>
      <c r="L26" s="115">
        <f>SUM(I26:K26)</f>
        <v>0</v>
      </c>
    </row>
    <row r="27" spans="1:15" ht="31.5" x14ac:dyDescent="0.25">
      <c r="A27" s="404"/>
      <c r="B27" s="405"/>
      <c r="C27" s="405"/>
      <c r="D27" s="131" t="s">
        <v>65</v>
      </c>
      <c r="E27" s="130">
        <f>E17</f>
        <v>241</v>
      </c>
      <c r="F27" s="130" t="s">
        <v>30</v>
      </c>
      <c r="G27" s="130" t="s">
        <v>30</v>
      </c>
      <c r="H27" s="130" t="s">
        <v>30</v>
      </c>
      <c r="I27" s="115">
        <f>'+ пр к ПП2'!H44</f>
        <v>199973.87299999999</v>
      </c>
      <c r="J27" s="115">
        <f>'+ пр к ПП2'!I44</f>
        <v>199973.87299999999</v>
      </c>
      <c r="K27" s="115">
        <f>'+ пр к ПП2'!J44</f>
        <v>199973.87299999999</v>
      </c>
      <c r="L27" s="115">
        <f>SUM(I27:K27)</f>
        <v>599921.61899999995</v>
      </c>
      <c r="N27" s="212"/>
    </row>
    <row r="28" spans="1:15" ht="47.25" x14ac:dyDescent="0.25">
      <c r="A28" s="404"/>
      <c r="B28" s="405"/>
      <c r="C28" s="405"/>
      <c r="D28" s="131" t="s">
        <v>94</v>
      </c>
      <c r="E28" s="133">
        <f>E18</f>
        <v>242</v>
      </c>
      <c r="F28" s="130" t="s">
        <v>30</v>
      </c>
      <c r="G28" s="130" t="s">
        <v>30</v>
      </c>
      <c r="H28" s="130" t="s">
        <v>30</v>
      </c>
      <c r="I28" s="115">
        <f>'+ пр к ПП2'!H22</f>
        <v>0</v>
      </c>
      <c r="J28" s="115">
        <f>'+ пр к ПП2'!I22</f>
        <v>0</v>
      </c>
      <c r="K28" s="115">
        <f>'+ пр к ПП2'!J22</f>
        <v>0</v>
      </c>
      <c r="L28" s="115">
        <f>SUM(I28:K28)</f>
        <v>0</v>
      </c>
    </row>
    <row r="29" spans="1:15" ht="63" x14ac:dyDescent="0.25">
      <c r="A29" s="404"/>
      <c r="B29" s="405"/>
      <c r="C29" s="405"/>
      <c r="D29" s="131" t="s">
        <v>66</v>
      </c>
      <c r="E29" s="130">
        <f>E24</f>
        <v>247</v>
      </c>
      <c r="F29" s="130" t="s">
        <v>30</v>
      </c>
      <c r="G29" s="130" t="s">
        <v>30</v>
      </c>
      <c r="H29" s="130" t="s">
        <v>30</v>
      </c>
      <c r="I29" s="115">
        <f>'+ пр к ПП2'!H24</f>
        <v>0</v>
      </c>
      <c r="J29" s="115">
        <f>'+ пр к ПП2'!I24</f>
        <v>0</v>
      </c>
      <c r="K29" s="115">
        <f>'+ пр к ПП2'!J24</f>
        <v>0</v>
      </c>
      <c r="L29" s="115">
        <f>SUM(I29:K29)</f>
        <v>0</v>
      </c>
    </row>
    <row r="30" spans="1:15" ht="31.5" customHeight="1" x14ac:dyDescent="0.25">
      <c r="A30" s="404" t="s">
        <v>85</v>
      </c>
      <c r="B30" s="405" t="s">
        <v>91</v>
      </c>
      <c r="C30" s="405" t="s">
        <v>98</v>
      </c>
      <c r="D30" s="225" t="s">
        <v>32</v>
      </c>
      <c r="E30" s="219"/>
      <c r="F30" s="219" t="s">
        <v>30</v>
      </c>
      <c r="G30" s="219" t="s">
        <v>30</v>
      </c>
      <c r="H30" s="219" t="s">
        <v>30</v>
      </c>
      <c r="I30" s="115">
        <f>'+пр к ПП3'!H24</f>
        <v>0</v>
      </c>
      <c r="J30" s="115">
        <f>'+пр к ПП3'!I24</f>
        <v>0</v>
      </c>
      <c r="K30" s="115">
        <f>'+пр к ПП3'!J24</f>
        <v>0</v>
      </c>
      <c r="L30" s="115">
        <f>'+пр к ПП3'!K24</f>
        <v>0</v>
      </c>
    </row>
    <row r="31" spans="1:15" x14ac:dyDescent="0.25">
      <c r="A31" s="404"/>
      <c r="B31" s="405"/>
      <c r="C31" s="405"/>
      <c r="D31" s="225" t="s">
        <v>31</v>
      </c>
      <c r="E31" s="219"/>
      <c r="F31" s="219" t="s">
        <v>30</v>
      </c>
      <c r="G31" s="219" t="s">
        <v>30</v>
      </c>
      <c r="H31" s="219" t="s">
        <v>30</v>
      </c>
      <c r="I31" s="115"/>
      <c r="J31" s="115"/>
      <c r="K31" s="115"/>
      <c r="L31" s="115">
        <f>SUM(I31:K31)</f>
        <v>0</v>
      </c>
    </row>
    <row r="32" spans="1:15" ht="63" x14ac:dyDescent="0.25">
      <c r="A32" s="404"/>
      <c r="B32" s="405"/>
      <c r="C32" s="405"/>
      <c r="D32" s="225" t="s">
        <v>66</v>
      </c>
      <c r="E32" s="219">
        <f>E19</f>
        <v>247</v>
      </c>
      <c r="F32" s="219" t="s">
        <v>30</v>
      </c>
      <c r="G32" s="219" t="s">
        <v>30</v>
      </c>
      <c r="H32" s="219" t="s">
        <v>30</v>
      </c>
      <c r="I32" s="115">
        <f>'+пр к ПП3'!H17+'+пр к ПП3'!H19+'+пр к ПП3'!H23</f>
        <v>0</v>
      </c>
      <c r="J32" s="115">
        <f>'+пр к ПП3'!I17+'+пр к ПП3'!I19+'+пр к ПП3'!I23</f>
        <v>0</v>
      </c>
      <c r="K32" s="115">
        <f>'+пр к ПП3'!J17+'+пр к ПП3'!J19+'+пр к ПП3'!J23</f>
        <v>0</v>
      </c>
      <c r="L32" s="115">
        <f>'+пр к ПП3'!K17+'+пр к ПП3'!K19+'+пр к ПП3'!K23</f>
        <v>0</v>
      </c>
    </row>
    <row r="33" spans="1:14" ht="47.25" x14ac:dyDescent="0.25">
      <c r="A33" s="404"/>
      <c r="B33" s="405"/>
      <c r="C33" s="405"/>
      <c r="D33" s="225" t="s">
        <v>213</v>
      </c>
      <c r="E33" s="216">
        <f>E20</f>
        <v>243</v>
      </c>
      <c r="F33" s="219" t="s">
        <v>30</v>
      </c>
      <c r="G33" s="219" t="s">
        <v>30</v>
      </c>
      <c r="H33" s="219" t="s">
        <v>30</v>
      </c>
      <c r="I33" s="115">
        <f>'+пр к ПП3'!H15+'+пр к ПП3'!H16</f>
        <v>0</v>
      </c>
      <c r="J33" s="115">
        <f>'+пр к ПП3'!I15+'+пр к ПП3'!I16</f>
        <v>0</v>
      </c>
      <c r="K33" s="115">
        <f>'+пр к ПП3'!J15+'+пр к ПП3'!J16</f>
        <v>0</v>
      </c>
      <c r="L33" s="115">
        <f>SUM(I33:K33)</f>
        <v>0</v>
      </c>
    </row>
    <row r="34" spans="1:14" ht="31.5" customHeight="1" x14ac:dyDescent="0.25">
      <c r="A34" s="404" t="s">
        <v>86</v>
      </c>
      <c r="B34" s="405" t="s">
        <v>92</v>
      </c>
      <c r="C34" s="405" t="s">
        <v>160</v>
      </c>
      <c r="D34" s="131" t="s">
        <v>32</v>
      </c>
      <c r="E34" s="130"/>
      <c r="F34" s="130" t="s">
        <v>30</v>
      </c>
      <c r="G34" s="130" t="s">
        <v>30</v>
      </c>
      <c r="H34" s="130" t="s">
        <v>30</v>
      </c>
      <c r="I34" s="115">
        <f>I36+I37</f>
        <v>15600</v>
      </c>
      <c r="J34" s="115">
        <f t="shared" ref="J34:K34" si="5">J36+J37</f>
        <v>15600</v>
      </c>
      <c r="K34" s="115">
        <f t="shared" si="5"/>
        <v>15600</v>
      </c>
      <c r="L34" s="115">
        <f>L36+L37</f>
        <v>46800</v>
      </c>
      <c r="N34" s="236">
        <f>K34+J34+I34-L34</f>
        <v>0</v>
      </c>
    </row>
    <row r="35" spans="1:14" x14ac:dyDescent="0.25">
      <c r="A35" s="404"/>
      <c r="B35" s="405"/>
      <c r="C35" s="405"/>
      <c r="D35" s="131" t="s">
        <v>31</v>
      </c>
      <c r="E35" s="130"/>
      <c r="F35" s="130" t="s">
        <v>30</v>
      </c>
      <c r="G35" s="130" t="s">
        <v>30</v>
      </c>
      <c r="H35" s="130" t="s">
        <v>30</v>
      </c>
      <c r="I35" s="115"/>
      <c r="J35" s="115"/>
      <c r="K35" s="115"/>
      <c r="L35" s="115">
        <f>SUM(I35:K35)</f>
        <v>0</v>
      </c>
    </row>
    <row r="36" spans="1:14" ht="31.5" x14ac:dyDescent="0.25">
      <c r="A36" s="404"/>
      <c r="B36" s="405"/>
      <c r="C36" s="405"/>
      <c r="D36" s="131" t="s">
        <v>65</v>
      </c>
      <c r="E36" s="130">
        <f>E27</f>
        <v>241</v>
      </c>
      <c r="F36" s="130" t="s">
        <v>30</v>
      </c>
      <c r="G36" s="130" t="s">
        <v>30</v>
      </c>
      <c r="H36" s="130" t="s">
        <v>30</v>
      </c>
      <c r="I36" s="115">
        <f>'+пр к ПП4'!I15</f>
        <v>15600</v>
      </c>
      <c r="J36" s="115">
        <f>'+пр к ПП4'!J15</f>
        <v>15600</v>
      </c>
      <c r="K36" s="115">
        <f>'+пр к ПП4'!K15</f>
        <v>15600</v>
      </c>
      <c r="L36" s="115">
        <f>SUM(I36:K36)</f>
        <v>46800</v>
      </c>
    </row>
    <row r="37" spans="1:14" ht="47.25" x14ac:dyDescent="0.25">
      <c r="A37" s="404"/>
      <c r="B37" s="405"/>
      <c r="C37" s="405"/>
      <c r="D37" s="131" t="s">
        <v>94</v>
      </c>
      <c r="E37" s="130">
        <f>E28</f>
        <v>242</v>
      </c>
      <c r="F37" s="130" t="s">
        <v>30</v>
      </c>
      <c r="G37" s="130" t="s">
        <v>30</v>
      </c>
      <c r="H37" s="130" t="s">
        <v>30</v>
      </c>
      <c r="I37" s="115">
        <f>'+пр к ПП4'!I19</f>
        <v>0</v>
      </c>
      <c r="J37" s="115">
        <f>'+пр к ПП4'!J19</f>
        <v>0</v>
      </c>
      <c r="K37" s="115">
        <f>'+пр к ПП4'!K19</f>
        <v>0</v>
      </c>
      <c r="L37" s="115">
        <f>SUM(I37:K37)</f>
        <v>0</v>
      </c>
    </row>
    <row r="45" spans="1:14" x14ac:dyDescent="0.25">
      <c r="B45" s="142" t="s">
        <v>222</v>
      </c>
    </row>
    <row r="46" spans="1:14" x14ac:dyDescent="0.25">
      <c r="B46" s="142" t="s">
        <v>223</v>
      </c>
      <c r="I46" s="142" t="b">
        <f>I21='пр к ПП1'!I35</f>
        <v>1</v>
      </c>
      <c r="J46" s="142" t="b">
        <f>J21='пр к ПП1'!J35</f>
        <v>1</v>
      </c>
      <c r="K46" s="142" t="b">
        <f>K21='пр к ПП1'!K35</f>
        <v>1</v>
      </c>
      <c r="L46" s="142" t="b">
        <f>L21='пр к ПП1'!L35</f>
        <v>1</v>
      </c>
    </row>
    <row r="47" spans="1:14" x14ac:dyDescent="0.25">
      <c r="B47" s="142" t="s">
        <v>224</v>
      </c>
      <c r="I47" s="142" t="b">
        <f>I25='+ пр к ПП2'!H44</f>
        <v>1</v>
      </c>
      <c r="J47" s="142" t="b">
        <f>J25='+ пр к ПП2'!I44</f>
        <v>1</v>
      </c>
      <c r="K47" s="142" t="b">
        <f>K25='+ пр к ПП2'!J44</f>
        <v>1</v>
      </c>
      <c r="L47" s="142" t="b">
        <f>L25='+ пр к ПП2'!K44</f>
        <v>1</v>
      </c>
    </row>
    <row r="48" spans="1:14" x14ac:dyDescent="0.25">
      <c r="B48" s="142" t="s">
        <v>225</v>
      </c>
      <c r="I48" s="142" t="b">
        <f>I30='+пр к ПП3'!H24</f>
        <v>1</v>
      </c>
      <c r="J48" s="142" t="b">
        <f>J30='+пр к ПП3'!I24</f>
        <v>1</v>
      </c>
      <c r="K48" s="142" t="b">
        <f>K30='+пр к ПП3'!J24</f>
        <v>1</v>
      </c>
      <c r="L48" s="142" t="b">
        <f>L30='+пр к ПП3'!K24</f>
        <v>1</v>
      </c>
    </row>
    <row r="49" spans="2:12" x14ac:dyDescent="0.25">
      <c r="B49" s="142" t="s">
        <v>226</v>
      </c>
      <c r="I49" s="142" t="b">
        <f>I34='+пр к ПП4'!I20</f>
        <v>1</v>
      </c>
      <c r="J49" s="142" t="b">
        <f>J34='+пр к ПП4'!J20</f>
        <v>1</v>
      </c>
      <c r="K49" s="142" t="b">
        <f>K34='+пр к ПП4'!K20</f>
        <v>1</v>
      </c>
      <c r="L49" s="142" t="b">
        <f>L34='+пр к ПП4'!L20</f>
        <v>1</v>
      </c>
    </row>
    <row r="52" spans="2:12" x14ac:dyDescent="0.25">
      <c r="B52" s="142" t="s">
        <v>223</v>
      </c>
      <c r="I52" s="187">
        <f>I21-'пр к ПП1'!I35</f>
        <v>0</v>
      </c>
      <c r="J52" s="187">
        <f>J21-'пр к ПП1'!J35</f>
        <v>0</v>
      </c>
      <c r="K52" s="187">
        <f>K21-'пр к ПП1'!K35</f>
        <v>0</v>
      </c>
      <c r="L52" s="187">
        <f>L21-'пр к ПП1'!L35</f>
        <v>0</v>
      </c>
    </row>
    <row r="53" spans="2:12" x14ac:dyDescent="0.25">
      <c r="B53" s="142" t="s">
        <v>224</v>
      </c>
      <c r="I53" s="187">
        <f>I25-'+ пр к ПП2'!H44</f>
        <v>0</v>
      </c>
      <c r="J53" s="187">
        <f>J25-'+ пр к ПП2'!I44</f>
        <v>0</v>
      </c>
      <c r="K53" s="187">
        <f>K25-'+ пр к ПП2'!J44</f>
        <v>0</v>
      </c>
      <c r="L53" s="187">
        <f>L25-'+ пр к ПП2'!K44</f>
        <v>0</v>
      </c>
    </row>
    <row r="54" spans="2:12" x14ac:dyDescent="0.25">
      <c r="B54" s="142" t="s">
        <v>225</v>
      </c>
      <c r="I54" s="187">
        <f>I30-'+пр к ПП3'!H24</f>
        <v>0</v>
      </c>
      <c r="J54" s="187">
        <f>J30-'+пр к ПП3'!I24</f>
        <v>0</v>
      </c>
      <c r="K54" s="187">
        <f>K30-'+пр к ПП3'!J24</f>
        <v>0</v>
      </c>
      <c r="L54" s="187">
        <f>L30-'+пр к ПП3'!K24</f>
        <v>0</v>
      </c>
    </row>
    <row r="55" spans="2:12" x14ac:dyDescent="0.25">
      <c r="B55" s="142" t="s">
        <v>226</v>
      </c>
      <c r="I55" s="187">
        <f>I34-'+пр к ПП4'!I20</f>
        <v>0</v>
      </c>
      <c r="J55" s="187">
        <f>J34-'+пр к ПП4'!J20</f>
        <v>0</v>
      </c>
      <c r="K55" s="187">
        <f>K34-'+пр к ПП4'!K20</f>
        <v>0</v>
      </c>
      <c r="L55" s="187">
        <f>L34-'+пр к ПП4'!L20</f>
        <v>0</v>
      </c>
    </row>
  </sheetData>
  <mergeCells count="27">
    <mergeCell ref="J1:L1"/>
    <mergeCell ref="A6:L6"/>
    <mergeCell ref="A30:A33"/>
    <mergeCell ref="B30:B33"/>
    <mergeCell ref="C30:C33"/>
    <mergeCell ref="A15:A20"/>
    <mergeCell ref="A7:L7"/>
    <mergeCell ref="A8:L8"/>
    <mergeCell ref="A9:L9"/>
    <mergeCell ref="A25:A29"/>
    <mergeCell ref="B25:B29"/>
    <mergeCell ref="C25:C29"/>
    <mergeCell ref="A34:A37"/>
    <mergeCell ref="B34:B37"/>
    <mergeCell ref="C34:C37"/>
    <mergeCell ref="J3:L3"/>
    <mergeCell ref="L12:L13"/>
    <mergeCell ref="A12:A13"/>
    <mergeCell ref="B12:B13"/>
    <mergeCell ref="C12:C13"/>
    <mergeCell ref="D12:D13"/>
    <mergeCell ref="E12:H12"/>
    <mergeCell ref="B15:B20"/>
    <mergeCell ref="C15:C20"/>
    <mergeCell ref="A21:A24"/>
    <mergeCell ref="B21:B24"/>
    <mergeCell ref="C21:C24"/>
  </mergeCells>
  <pageMargins left="0.78740157480314965" right="0.78740157480314965" top="1.1811023622047245" bottom="0.17" header="0.31496062992125984" footer="0.31496062992125984"/>
  <pageSetup paperSize="9" scale="71" fitToHeight="0" orientation="landscape" r:id="rId1"/>
  <rowBreaks count="2" manualBreakCount="2">
    <brk id="20" max="11" man="1"/>
    <brk id="33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AA74"/>
  <sheetViews>
    <sheetView view="pageBreakPreview" topLeftCell="B9" zoomScale="70" zoomScaleNormal="70" zoomScaleSheetLayoutView="70" workbookViewId="0">
      <selection activeCell="V25" sqref="V25"/>
    </sheetView>
  </sheetViews>
  <sheetFormatPr defaultColWidth="9" defaultRowHeight="18.75" outlineLevelRow="1" outlineLevelCol="1" x14ac:dyDescent="0.3"/>
  <cols>
    <col min="1" max="1" width="5.375" style="188" customWidth="1"/>
    <col min="2" max="2" width="22.25" style="189" customWidth="1"/>
    <col min="3" max="3" width="25" style="189" customWidth="1"/>
    <col min="4" max="4" width="27.5" style="189" customWidth="1"/>
    <col min="5" max="5" width="17.25" style="190" hidden="1" customWidth="1" outlineLevel="1"/>
    <col min="6" max="8" width="14.25" style="190" hidden="1" customWidth="1" outlineLevel="1"/>
    <col min="9" max="10" width="14.625" style="190" hidden="1" customWidth="1" outlineLevel="1"/>
    <col min="11" max="11" width="14.625" style="13" hidden="1" customWidth="1" outlineLevel="1"/>
    <col min="12" max="13" width="15.875" style="190" hidden="1" customWidth="1" outlineLevel="1"/>
    <col min="14" max="14" width="18.5" style="4" customWidth="1" collapsed="1"/>
    <col min="15" max="16" width="15.625" style="4" customWidth="1"/>
    <col min="17" max="17" width="18.125" style="4" bestFit="1" customWidth="1"/>
    <col min="18" max="18" width="10" style="189" hidden="1" customWidth="1" outlineLevel="1"/>
    <col min="19" max="19" width="17.875" style="191" hidden="1" customWidth="1" outlineLevel="1"/>
    <col min="20" max="20" width="10.75" style="189" hidden="1" customWidth="1" outlineLevel="1"/>
    <col min="21" max="21" width="12.5" style="189" bestFit="1" customWidth="1" collapsed="1"/>
    <col min="22" max="22" width="16.875" style="189" customWidth="1"/>
    <col min="23" max="23" width="11.375" style="189" bestFit="1" customWidth="1"/>
    <col min="24" max="26" width="9" style="189"/>
    <col min="27" max="27" width="11.375" style="189" bestFit="1" customWidth="1"/>
    <col min="28" max="16384" width="9" style="189"/>
  </cols>
  <sheetData>
    <row r="1" spans="1:22" ht="78.75" hidden="1" customHeight="1" outlineLevel="1" x14ac:dyDescent="0.3">
      <c r="A1" s="7"/>
      <c r="B1" s="4"/>
      <c r="C1" s="4"/>
      <c r="D1" s="4"/>
      <c r="E1" s="13"/>
      <c r="F1" s="13"/>
      <c r="G1" s="13"/>
      <c r="H1" s="13"/>
      <c r="I1" s="13"/>
      <c r="J1" s="13"/>
      <c r="L1" s="13"/>
      <c r="M1" s="13"/>
      <c r="N1" s="361" t="s">
        <v>352</v>
      </c>
      <c r="O1" s="361"/>
      <c r="P1" s="361"/>
      <c r="Q1" s="361"/>
    </row>
    <row r="2" spans="1:22" ht="43.5" hidden="1" customHeight="1" outlineLevel="1" x14ac:dyDescent="0.3">
      <c r="A2" s="7"/>
      <c r="B2" s="4"/>
      <c r="C2" s="4"/>
      <c r="D2" s="4"/>
      <c r="E2" s="13"/>
      <c r="F2" s="13"/>
      <c r="G2" s="13"/>
      <c r="H2" s="13"/>
      <c r="I2" s="13"/>
      <c r="J2" s="13"/>
      <c r="L2" s="13"/>
      <c r="M2" s="13"/>
      <c r="N2" s="284"/>
      <c r="O2" s="284"/>
      <c r="P2" s="284"/>
      <c r="Q2" s="284"/>
    </row>
    <row r="3" spans="1:22" collapsed="1" x14ac:dyDescent="0.3">
      <c r="A3" s="7"/>
      <c r="B3" s="4"/>
      <c r="C3" s="4"/>
      <c r="D3" s="4"/>
      <c r="E3" s="13"/>
      <c r="F3" s="13"/>
      <c r="G3" s="13"/>
      <c r="H3" s="13"/>
      <c r="I3" s="13"/>
      <c r="J3" s="13"/>
      <c r="L3" s="13"/>
      <c r="M3" s="13"/>
      <c r="N3" s="221" t="s">
        <v>162</v>
      </c>
    </row>
    <row r="4" spans="1:22" ht="51" customHeight="1" x14ac:dyDescent="0.3">
      <c r="A4" s="7"/>
      <c r="B4" s="4"/>
      <c r="C4" s="4"/>
      <c r="D4" s="4"/>
      <c r="E4" s="13"/>
      <c r="F4" s="13"/>
      <c r="G4" s="13"/>
      <c r="H4" s="13"/>
      <c r="I4" s="13"/>
      <c r="J4" s="13"/>
      <c r="L4" s="13"/>
      <c r="M4" s="13"/>
      <c r="N4" s="318" t="str">
        <f>CONCATENATE("к муниципальной программе Туруханского района """,'+ Приложение 6'!C15,"""")</f>
        <v>к муниципальной программе Туруханского района "Развитие транспортной системы и связи Туруханского района"</v>
      </c>
      <c r="O4" s="318"/>
      <c r="P4" s="318"/>
      <c r="Q4" s="318"/>
    </row>
    <row r="5" spans="1:22" x14ac:dyDescent="0.3">
      <c r="A5" s="129"/>
      <c r="B5" s="4"/>
      <c r="C5" s="4"/>
      <c r="D5" s="4"/>
      <c r="E5" s="13"/>
      <c r="F5" s="13"/>
      <c r="G5" s="13"/>
      <c r="H5" s="13"/>
      <c r="I5" s="13"/>
      <c r="J5" s="13"/>
      <c r="L5" s="13"/>
      <c r="M5" s="13"/>
    </row>
    <row r="6" spans="1:22" x14ac:dyDescent="0.3">
      <c r="A6" s="129"/>
      <c r="B6" s="4"/>
      <c r="C6" s="4"/>
      <c r="D6" s="4"/>
      <c r="E6" s="13"/>
      <c r="F6" s="13"/>
      <c r="G6" s="13"/>
      <c r="H6" s="13"/>
      <c r="I6" s="13"/>
      <c r="J6" s="13"/>
      <c r="L6" s="13"/>
      <c r="M6" s="13"/>
    </row>
    <row r="7" spans="1:22" x14ac:dyDescent="0.3">
      <c r="A7" s="320" t="s">
        <v>0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</row>
    <row r="8" spans="1:22" x14ac:dyDescent="0.3">
      <c r="A8" s="320" t="s">
        <v>41</v>
      </c>
      <c r="B8" s="320"/>
      <c r="C8" s="320"/>
      <c r="D8" s="320"/>
      <c r="E8" s="320"/>
      <c r="F8" s="320"/>
      <c r="G8" s="320"/>
      <c r="H8" s="320"/>
      <c r="I8" s="320"/>
      <c r="J8" s="320"/>
      <c r="K8" s="320"/>
      <c r="L8" s="320"/>
      <c r="M8" s="320"/>
      <c r="N8" s="320"/>
      <c r="O8" s="320"/>
      <c r="P8" s="320"/>
      <c r="Q8" s="320"/>
    </row>
    <row r="9" spans="1:22" x14ac:dyDescent="0.3">
      <c r="A9" s="320" t="s">
        <v>42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</row>
    <row r="10" spans="1:22" x14ac:dyDescent="0.3">
      <c r="A10" s="320" t="s">
        <v>43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</row>
    <row r="11" spans="1:22" x14ac:dyDescent="0.3">
      <c r="A11" s="320" t="s">
        <v>44</v>
      </c>
      <c r="B11" s="320"/>
      <c r="C11" s="320"/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320"/>
      <c r="P11" s="320"/>
      <c r="Q11" s="320"/>
    </row>
    <row r="12" spans="1:22" x14ac:dyDescent="0.3">
      <c r="A12" s="320" t="s">
        <v>45</v>
      </c>
      <c r="B12" s="320"/>
      <c r="C12" s="320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</row>
    <row r="13" spans="1:22" ht="14.25" customHeight="1" x14ac:dyDescent="0.3">
      <c r="Q13" s="3" t="s">
        <v>207</v>
      </c>
      <c r="R13" s="4"/>
      <c r="S13" s="35"/>
      <c r="T13" s="4"/>
      <c r="U13" s="4"/>
    </row>
    <row r="14" spans="1:22" ht="27.75" customHeight="1" x14ac:dyDescent="0.3">
      <c r="A14" s="321" t="s">
        <v>19</v>
      </c>
      <c r="B14" s="406" t="s">
        <v>33</v>
      </c>
      <c r="C14" s="406" t="s">
        <v>34</v>
      </c>
      <c r="D14" s="321" t="s">
        <v>38</v>
      </c>
      <c r="E14" s="11">
        <v>2014</v>
      </c>
      <c r="F14" s="11">
        <v>2015</v>
      </c>
      <c r="G14" s="11">
        <v>2016</v>
      </c>
      <c r="H14" s="11">
        <v>2017</v>
      </c>
      <c r="I14" s="11" t="s">
        <v>54</v>
      </c>
      <c r="J14" s="11"/>
      <c r="K14" s="11" t="s">
        <v>58</v>
      </c>
      <c r="L14" s="11">
        <v>2021</v>
      </c>
      <c r="M14" s="11">
        <v>2022</v>
      </c>
      <c r="N14" s="219">
        <v>2023</v>
      </c>
      <c r="O14" s="219">
        <f>N14+1</f>
        <v>2024</v>
      </c>
      <c r="P14" s="219">
        <v>2025</v>
      </c>
      <c r="Q14" s="406" t="s">
        <v>24</v>
      </c>
      <c r="R14" s="4"/>
      <c r="S14" s="35"/>
      <c r="T14" s="4"/>
      <c r="U14" s="4"/>
    </row>
    <row r="15" spans="1:22" x14ac:dyDescent="0.3">
      <c r="A15" s="321"/>
      <c r="B15" s="406"/>
      <c r="C15" s="406"/>
      <c r="D15" s="321"/>
      <c r="E15" s="11" t="s">
        <v>375</v>
      </c>
      <c r="F15" s="11" t="s">
        <v>375</v>
      </c>
      <c r="G15" s="11" t="s">
        <v>375</v>
      </c>
      <c r="H15" s="11" t="s">
        <v>375</v>
      </c>
      <c r="I15" s="11" t="s">
        <v>375</v>
      </c>
      <c r="J15" s="11" t="s">
        <v>375</v>
      </c>
      <c r="K15" s="11" t="s">
        <v>375</v>
      </c>
      <c r="L15" s="11" t="s">
        <v>375</v>
      </c>
      <c r="M15" s="11" t="s">
        <v>29</v>
      </c>
      <c r="N15" s="219" t="s">
        <v>29</v>
      </c>
      <c r="O15" s="219" t="s">
        <v>29</v>
      </c>
      <c r="P15" s="219" t="s">
        <v>29</v>
      </c>
      <c r="Q15" s="406"/>
      <c r="R15" s="4"/>
      <c r="S15" s="35"/>
      <c r="T15" s="4"/>
      <c r="U15" s="4"/>
    </row>
    <row r="16" spans="1:22" ht="14.25" customHeight="1" x14ac:dyDescent="0.3">
      <c r="A16" s="130">
        <v>1</v>
      </c>
      <c r="B16" s="130">
        <v>2</v>
      </c>
      <c r="C16" s="130">
        <v>3</v>
      </c>
      <c r="D16" s="130">
        <v>4</v>
      </c>
      <c r="E16" s="11"/>
      <c r="F16" s="11"/>
      <c r="G16" s="11"/>
      <c r="H16" s="11"/>
      <c r="I16" s="11">
        <v>5</v>
      </c>
      <c r="J16" s="11">
        <v>6</v>
      </c>
      <c r="K16" s="11"/>
      <c r="L16" s="11"/>
      <c r="M16" s="11"/>
      <c r="N16" s="219">
        <v>6</v>
      </c>
      <c r="O16" s="219">
        <v>7</v>
      </c>
      <c r="P16" s="219">
        <v>7</v>
      </c>
      <c r="Q16" s="219">
        <v>8</v>
      </c>
      <c r="R16" s="4"/>
      <c r="S16" s="35"/>
      <c r="T16" s="4"/>
      <c r="U16" s="4"/>
      <c r="V16" s="189">
        <f>1650830+19900000+27398600+13967500+1084171.92+2238755+15248371+400000+79920</f>
        <v>81968147.920000002</v>
      </c>
    </row>
    <row r="17" spans="1:23" x14ac:dyDescent="0.3">
      <c r="A17" s="404">
        <v>1</v>
      </c>
      <c r="B17" s="411" t="s">
        <v>39</v>
      </c>
      <c r="C17" s="411" t="str">
        <f>'+ Приложение 6'!C15</f>
        <v>Развитие транспортной системы и связи Туруханского района</v>
      </c>
      <c r="D17" s="205" t="s">
        <v>37</v>
      </c>
      <c r="E17" s="206">
        <f>E24+E31+E38+E45</f>
        <v>165376.84903000001</v>
      </c>
      <c r="F17" s="206">
        <f t="shared" ref="F17" si="0">F24+F31+F38+F45</f>
        <v>132504.82329</v>
      </c>
      <c r="G17" s="206">
        <f>G24+G31+G38+G45</f>
        <v>168993.47096999999</v>
      </c>
      <c r="H17" s="206">
        <f>H24+H31+H38+H45</f>
        <v>155455.69513999997</v>
      </c>
      <c r="I17" s="206">
        <f>I24+I31+I38+I45</f>
        <v>165993.04453999997</v>
      </c>
      <c r="J17" s="206">
        <f t="shared" ref="J17" si="1">J24+J31+J38+J45</f>
        <v>190229.62046000001</v>
      </c>
      <c r="K17" s="206">
        <f>K24+K31+K38+K45</f>
        <v>203327.42477000001</v>
      </c>
      <c r="L17" s="206">
        <f>SUM(L20:L21)</f>
        <v>216293.07074</v>
      </c>
      <c r="M17" s="206">
        <f>SUM(M20:M21)</f>
        <v>367612.89500000002</v>
      </c>
      <c r="N17" s="239">
        <f>N19+N20+N21+N22+N23</f>
        <v>309078.45799999998</v>
      </c>
      <c r="O17" s="239">
        <f>O19+O20+O21+O22+O23</f>
        <v>303578.45799999998</v>
      </c>
      <c r="P17" s="239">
        <f t="shared" ref="P17:Q17" si="2">P19+P20+P21+P22+P23</f>
        <v>303578.45799999998</v>
      </c>
      <c r="Q17" s="239">
        <f t="shared" si="2"/>
        <v>916235.37399999995</v>
      </c>
      <c r="R17" s="192">
        <f>Q17-'+ Приложение 6'!L15</f>
        <v>0</v>
      </c>
      <c r="S17" s="193">
        <f>SUM(E17:P17)</f>
        <v>2682022.2679400002</v>
      </c>
      <c r="T17" s="189" t="b">
        <f>SUM(S19:S23)=S17</f>
        <v>1</v>
      </c>
      <c r="V17" s="194">
        <f>V16/1000</f>
        <v>81968.147920000003</v>
      </c>
    </row>
    <row r="18" spans="1:23" x14ac:dyDescent="0.3">
      <c r="A18" s="404"/>
      <c r="B18" s="411"/>
      <c r="C18" s="411"/>
      <c r="D18" s="131" t="s">
        <v>20</v>
      </c>
      <c r="E18" s="36"/>
      <c r="F18" s="36"/>
      <c r="G18" s="36"/>
      <c r="H18" s="36"/>
      <c r="I18" s="36"/>
      <c r="J18" s="36"/>
      <c r="K18" s="36"/>
      <c r="L18" s="36"/>
      <c r="M18" s="36"/>
      <c r="N18" s="240"/>
      <c r="O18" s="240"/>
      <c r="P18" s="240"/>
      <c r="Q18" s="240"/>
      <c r="R18" s="192"/>
      <c r="S18" s="193"/>
      <c r="V18" s="195"/>
    </row>
    <row r="19" spans="1:23" x14ac:dyDescent="0.3">
      <c r="A19" s="404"/>
      <c r="B19" s="411"/>
      <c r="C19" s="411"/>
      <c r="D19" s="5" t="s">
        <v>99</v>
      </c>
      <c r="E19" s="36">
        <f t="shared" ref="E19:I19" si="3">E26+E33+E40+E47</f>
        <v>0</v>
      </c>
      <c r="F19" s="36">
        <f t="shared" si="3"/>
        <v>0</v>
      </c>
      <c r="G19" s="36">
        <f t="shared" si="3"/>
        <v>0</v>
      </c>
      <c r="H19" s="36">
        <f t="shared" ref="H19" si="4">H26+H33+H40+H47</f>
        <v>0</v>
      </c>
      <c r="I19" s="36">
        <f t="shared" si="3"/>
        <v>0</v>
      </c>
      <c r="J19" s="36">
        <f t="shared" ref="J19:N19" si="5">J26+J33+J40+J47</f>
        <v>0</v>
      </c>
      <c r="K19" s="36">
        <f t="shared" ref="K19" si="6">K26+K33+K40+K47</f>
        <v>0</v>
      </c>
      <c r="L19" s="36">
        <v>0</v>
      </c>
      <c r="M19" s="36">
        <v>0</v>
      </c>
      <c r="N19" s="240">
        <f t="shared" si="5"/>
        <v>0</v>
      </c>
      <c r="O19" s="240">
        <f t="shared" ref="O19:P19" si="7">O26+O33+O40+O47</f>
        <v>0</v>
      </c>
      <c r="P19" s="240">
        <f t="shared" si="7"/>
        <v>0</v>
      </c>
      <c r="Q19" s="240">
        <f>SUM(N19:P19)</f>
        <v>0</v>
      </c>
      <c r="R19" s="192"/>
      <c r="S19" s="193">
        <f t="shared" ref="S19:S51" si="8">SUM(E19:P19)</f>
        <v>0</v>
      </c>
      <c r="U19" s="192">
        <f>E19+F19+G19+H19+I19+J19+K19+L19+N19+O19+P19+Q19</f>
        <v>0</v>
      </c>
    </row>
    <row r="20" spans="1:23" x14ac:dyDescent="0.3">
      <c r="A20" s="404"/>
      <c r="B20" s="411"/>
      <c r="C20" s="411"/>
      <c r="D20" s="131" t="s">
        <v>100</v>
      </c>
      <c r="E20" s="36">
        <f>E27+E34+E41+E48</f>
        <v>33226.424510000004</v>
      </c>
      <c r="F20" s="36">
        <f t="shared" ref="F20:G20" si="9">F27+F34+F41+F48</f>
        <v>33544.400000000001</v>
      </c>
      <c r="G20" s="36">
        <f t="shared" si="9"/>
        <v>55791.640999999996</v>
      </c>
      <c r="H20" s="36">
        <f t="shared" ref="H20" si="10">H27+H34+H41+H48</f>
        <v>50192.994449999998</v>
      </c>
      <c r="I20" s="36">
        <f t="shared" ref="I20:N20" si="11">I27+I34+I41+I48</f>
        <v>43661.469730000004</v>
      </c>
      <c r="J20" s="36">
        <f t="shared" si="11"/>
        <v>52152.521000000001</v>
      </c>
      <c r="K20" s="36">
        <f t="shared" si="11"/>
        <v>43883.485489999999</v>
      </c>
      <c r="L20" s="36">
        <f t="shared" si="11"/>
        <v>63787.420229999996</v>
      </c>
      <c r="M20" s="36">
        <f t="shared" si="11"/>
        <v>21631.39428</v>
      </c>
      <c r="N20" s="240">
        <f t="shared" si="11"/>
        <v>0</v>
      </c>
      <c r="O20" s="240">
        <f t="shared" ref="O20:P20" si="12">O27+O34+O41+O48</f>
        <v>0</v>
      </c>
      <c r="P20" s="240">
        <f t="shared" si="12"/>
        <v>0</v>
      </c>
      <c r="Q20" s="240">
        <f>SUM(N20:P20)</f>
        <v>0</v>
      </c>
      <c r="R20" s="192"/>
      <c r="S20" s="193">
        <f t="shared" si="8"/>
        <v>397871.75069000002</v>
      </c>
    </row>
    <row r="21" spans="1:23" x14ac:dyDescent="0.3">
      <c r="A21" s="404"/>
      <c r="B21" s="411"/>
      <c r="C21" s="411"/>
      <c r="D21" s="131" t="s">
        <v>40</v>
      </c>
      <c r="E21" s="36">
        <f>E28+E35+E42+E49</f>
        <v>132150.42452</v>
      </c>
      <c r="F21" s="36">
        <f t="shared" ref="F21:G21" si="13">F28+F35+F42+F49</f>
        <v>98960.423290000006</v>
      </c>
      <c r="G21" s="36">
        <f t="shared" si="13"/>
        <v>113001.82996999999</v>
      </c>
      <c r="H21" s="36">
        <f t="shared" ref="H21" si="14">H28+H35+H42+H49</f>
        <v>105262.70068999998</v>
      </c>
      <c r="I21" s="36">
        <f>I28+I35+I42+I49</f>
        <v>122331.57480999999</v>
      </c>
      <c r="J21" s="36">
        <f t="shared" ref="J21:K21" si="15">J28+J35+J42+J49</f>
        <v>138077.09946</v>
      </c>
      <c r="K21" s="36">
        <f t="shared" si="15"/>
        <v>159443.93927999999</v>
      </c>
      <c r="L21" s="36">
        <f>L28+L35+L42+L49</f>
        <v>152505.65051000001</v>
      </c>
      <c r="M21" s="36">
        <f>M28+M35+M42+M49</f>
        <v>345981.50072000001</v>
      </c>
      <c r="N21" s="240">
        <f>N28+N35+N42+N49</f>
        <v>309078.45799999998</v>
      </c>
      <c r="O21" s="240">
        <f>O28+O35+O42+O49</f>
        <v>303578.45799999998</v>
      </c>
      <c r="P21" s="240">
        <f t="shared" ref="P21" si="16">P28+P35+P42+P49</f>
        <v>303578.45799999998</v>
      </c>
      <c r="Q21" s="240">
        <f>Q28+Q35+Q42+Q49</f>
        <v>916235.37399999995</v>
      </c>
      <c r="R21" s="192"/>
      <c r="S21" s="193">
        <f t="shared" si="8"/>
        <v>2283950.5172500005</v>
      </c>
    </row>
    <row r="22" spans="1:23" ht="48" x14ac:dyDescent="0.3">
      <c r="A22" s="404"/>
      <c r="B22" s="411"/>
      <c r="C22" s="411"/>
      <c r="D22" s="6" t="s">
        <v>101</v>
      </c>
      <c r="E22" s="36">
        <f t="shared" ref="E22:G22" si="17">E29+E36+E43+E50</f>
        <v>0</v>
      </c>
      <c r="F22" s="36">
        <f t="shared" si="17"/>
        <v>0</v>
      </c>
      <c r="G22" s="36">
        <f t="shared" si="17"/>
        <v>0</v>
      </c>
      <c r="H22" s="36">
        <f t="shared" ref="H22" si="18">H29+H36+H43+H50</f>
        <v>0</v>
      </c>
      <c r="I22" s="36">
        <f t="shared" ref="I22:N22" si="19">I29+I36+I43+I50</f>
        <v>0</v>
      </c>
      <c r="J22" s="36">
        <f t="shared" ref="J22:K22" si="20">J29+J36+J43+J50</f>
        <v>0</v>
      </c>
      <c r="K22" s="36">
        <f t="shared" si="20"/>
        <v>0</v>
      </c>
      <c r="L22" s="36">
        <v>0</v>
      </c>
      <c r="M22" s="36">
        <v>0</v>
      </c>
      <c r="N22" s="240">
        <f t="shared" si="19"/>
        <v>0</v>
      </c>
      <c r="O22" s="240">
        <f t="shared" ref="O22:P22" si="21">O29+O36+O43+O50</f>
        <v>0</v>
      </c>
      <c r="P22" s="240">
        <f t="shared" si="21"/>
        <v>0</v>
      </c>
      <c r="Q22" s="240">
        <f>SUM(N22:P22)</f>
        <v>0</v>
      </c>
      <c r="R22" s="192"/>
      <c r="S22" s="193">
        <f t="shared" si="8"/>
        <v>0</v>
      </c>
    </row>
    <row r="23" spans="1:23" ht="19.5" thickBot="1" x14ac:dyDescent="0.35">
      <c r="A23" s="404"/>
      <c r="B23" s="411"/>
      <c r="C23" s="411"/>
      <c r="D23" s="131" t="s">
        <v>21</v>
      </c>
      <c r="E23" s="36">
        <f t="shared" ref="E23:G23" si="22">E30+E37+E44+E51</f>
        <v>0</v>
      </c>
      <c r="F23" s="36">
        <f t="shared" si="22"/>
        <v>0</v>
      </c>
      <c r="G23" s="36">
        <f t="shared" si="22"/>
        <v>200</v>
      </c>
      <c r="H23" s="36">
        <f t="shared" ref="H23" si="23">H30+H37+H44+H51</f>
        <v>0</v>
      </c>
      <c r="I23" s="36">
        <f t="shared" ref="I23:N23" si="24">I30+I37+I44+I51</f>
        <v>0</v>
      </c>
      <c r="J23" s="36">
        <f t="shared" ref="J23:K23" si="25">J30+J37+J44+J51</f>
        <v>0</v>
      </c>
      <c r="K23" s="36">
        <f t="shared" si="25"/>
        <v>0</v>
      </c>
      <c r="L23" s="36">
        <v>0</v>
      </c>
      <c r="M23" s="36"/>
      <c r="N23" s="240">
        <f t="shared" si="24"/>
        <v>0</v>
      </c>
      <c r="O23" s="240">
        <f t="shared" ref="O23:P23" si="26">O30+O37+O44+O51</f>
        <v>0</v>
      </c>
      <c r="P23" s="240">
        <f t="shared" si="26"/>
        <v>0</v>
      </c>
      <c r="Q23" s="240">
        <f>SUM(N23:P23)</f>
        <v>0</v>
      </c>
      <c r="R23" s="192"/>
      <c r="S23" s="193">
        <f t="shared" si="8"/>
        <v>200</v>
      </c>
    </row>
    <row r="24" spans="1:23" s="198" customFormat="1" x14ac:dyDescent="0.3">
      <c r="A24" s="404" t="s">
        <v>3</v>
      </c>
      <c r="B24" s="411" t="s">
        <v>15</v>
      </c>
      <c r="C24" s="411" t="str">
        <f>'+ Приложение 6'!C21</f>
        <v>Развитие транспортного комплекса, обеспечение сохранности и модернизации автомобильных дорог Туруханского района</v>
      </c>
      <c r="D24" s="205" t="s">
        <v>37</v>
      </c>
      <c r="E24" s="206">
        <f>SUM(E26:E30)</f>
        <v>38654.857510000002</v>
      </c>
      <c r="F24" s="206">
        <f t="shared" ref="F24:H24" si="27">SUM(F26:F30)</f>
        <v>38642.90999</v>
      </c>
      <c r="G24" s="206">
        <f t="shared" si="27"/>
        <v>64679.243999999999</v>
      </c>
      <c r="H24" s="206">
        <f t="shared" si="27"/>
        <v>51991.447849999997</v>
      </c>
      <c r="I24" s="206">
        <f>SUM(I26:I30)</f>
        <v>46554.788160000011</v>
      </c>
      <c r="J24" s="206">
        <f t="shared" ref="J24:K24" si="28">SUM(J26:J30)</f>
        <v>59160.668460000001</v>
      </c>
      <c r="K24" s="206">
        <f t="shared" si="28"/>
        <v>61245.158410000004</v>
      </c>
      <c r="L24" s="206">
        <f>SUM(L27:L28)</f>
        <v>84378.761629999994</v>
      </c>
      <c r="M24" s="206">
        <f>SUM(M26:M29)</f>
        <v>127137.735</v>
      </c>
      <c r="N24" s="239">
        <f>SUM(N26:N30)</f>
        <v>93504.584999999992</v>
      </c>
      <c r="O24" s="239">
        <f>'пр к ПП1'!J15+'пр к ПП1'!J17+'пр к ПП1'!J19+'пр к ПП1'!J20+'пр к ПП1'!J22+'пр к ПП1'!J29+'пр к ПП1'!J33</f>
        <v>88004.584999999992</v>
      </c>
      <c r="P24" s="239">
        <f>'пр к ПП1'!K15+'пр к ПП1'!K17+'пр к ПП1'!K19+'пр к ПП1'!K20+'пр к ПП1'!K22+'пр к ПП1'!K29+'пр к ПП1'!K33</f>
        <v>88004.584999999992</v>
      </c>
      <c r="Q24" s="239">
        <f>SUM(N24:P24)</f>
        <v>269513.755</v>
      </c>
      <c r="R24" s="196">
        <f>Q24-'+ Приложение 6'!L21</f>
        <v>0</v>
      </c>
      <c r="S24" s="197">
        <f t="shared" si="8"/>
        <v>841959.32600999984</v>
      </c>
      <c r="T24" s="198" t="b">
        <f>SUM(S26:S30)=S24</f>
        <v>1</v>
      </c>
    </row>
    <row r="25" spans="1:23" s="200" customFormat="1" x14ac:dyDescent="0.3">
      <c r="A25" s="404"/>
      <c r="B25" s="411"/>
      <c r="C25" s="411"/>
      <c r="D25" s="131" t="s">
        <v>20</v>
      </c>
      <c r="E25" s="36"/>
      <c r="F25" s="36"/>
      <c r="G25" s="36"/>
      <c r="H25" s="36"/>
      <c r="I25" s="36"/>
      <c r="J25" s="36"/>
      <c r="K25" s="36"/>
      <c r="L25" s="36"/>
      <c r="M25" s="36"/>
      <c r="N25" s="240"/>
      <c r="O25" s="240"/>
      <c r="P25" s="240"/>
      <c r="Q25" s="240"/>
      <c r="R25" s="116"/>
      <c r="S25" s="199">
        <f t="shared" si="8"/>
        <v>0</v>
      </c>
    </row>
    <row r="26" spans="1:23" s="200" customFormat="1" x14ac:dyDescent="0.3">
      <c r="A26" s="404"/>
      <c r="B26" s="411"/>
      <c r="C26" s="411"/>
      <c r="D26" s="5" t="s">
        <v>99</v>
      </c>
      <c r="E26" s="36"/>
      <c r="F26" s="36"/>
      <c r="G26" s="36"/>
      <c r="H26" s="36"/>
      <c r="I26" s="36"/>
      <c r="J26" s="36"/>
      <c r="K26" s="36"/>
      <c r="L26" s="36"/>
      <c r="M26" s="36"/>
      <c r="N26" s="240"/>
      <c r="O26" s="240"/>
      <c r="P26" s="240"/>
      <c r="Q26" s="240">
        <f t="shared" ref="Q26:Q30" si="29">SUM(N26:P26)</f>
        <v>0</v>
      </c>
      <c r="R26" s="116"/>
      <c r="S26" s="199">
        <f t="shared" si="8"/>
        <v>0</v>
      </c>
    </row>
    <row r="27" spans="1:23" s="200" customFormat="1" x14ac:dyDescent="0.3">
      <c r="A27" s="404"/>
      <c r="B27" s="411"/>
      <c r="C27" s="411"/>
      <c r="D27" s="131" t="s">
        <v>100</v>
      </c>
      <c r="E27" s="36">
        <v>33203.024510000003</v>
      </c>
      <c r="F27" s="36">
        <v>33544.400000000001</v>
      </c>
      <c r="G27" s="36">
        <v>55649.004999999997</v>
      </c>
      <c r="H27" s="36">
        <v>47780.994449999998</v>
      </c>
      <c r="I27" s="36">
        <v>40519.269730000007</v>
      </c>
      <c r="J27" s="36">
        <f>49498.086-220.5</f>
        <v>49277.586000000003</v>
      </c>
      <c r="K27" s="36">
        <f>40623031.49/1000</f>
        <v>40623.031490000001</v>
      </c>
      <c r="L27" s="36">
        <v>62537.988089999999</v>
      </c>
      <c r="M27" s="36">
        <v>19900</v>
      </c>
      <c r="N27" s="240">
        <f>'пр к ПП1'!I26</f>
        <v>0</v>
      </c>
      <c r="O27" s="240">
        <f>'пр к ПП1'!J26</f>
        <v>0</v>
      </c>
      <c r="P27" s="240">
        <f>'пр к ПП1'!K26</f>
        <v>0</v>
      </c>
      <c r="Q27" s="240">
        <f t="shared" si="29"/>
        <v>0</v>
      </c>
      <c r="R27" s="116"/>
      <c r="S27" s="199">
        <f t="shared" si="8"/>
        <v>383035.29927000002</v>
      </c>
      <c r="U27" s="116"/>
    </row>
    <row r="28" spans="1:23" s="200" customFormat="1" x14ac:dyDescent="0.3">
      <c r="A28" s="404"/>
      <c r="B28" s="411"/>
      <c r="C28" s="411"/>
      <c r="D28" s="131" t="s">
        <v>40</v>
      </c>
      <c r="E28" s="36">
        <v>5451.8330000000005</v>
      </c>
      <c r="F28" s="36">
        <v>5098.5099900000005</v>
      </c>
      <c r="G28" s="36">
        <v>8830.2389999999996</v>
      </c>
      <c r="H28" s="36">
        <v>4210.4534000000003</v>
      </c>
      <c r="I28" s="36">
        <v>6035.5184300000001</v>
      </c>
      <c r="J28" s="36">
        <f>4174.297+5708.78546</f>
        <v>9883.0824599999996</v>
      </c>
      <c r="K28" s="36">
        <f>20622126.92/1000</f>
        <v>20622.126920000002</v>
      </c>
      <c r="L28" s="36">
        <v>21840.773539999998</v>
      </c>
      <c r="M28" s="36">
        <v>107237.735</v>
      </c>
      <c r="N28" s="240">
        <f>'пр к ПП1'!I15+'пр к ПП1'!I17+'пр к ПП1'!I19+'пр к ПП1'!I20+'пр к ПП1'!I22+'пр к ПП1'!I29+'пр к ПП1'!I31+'пр к ПП1'!I33</f>
        <v>93504.584999999992</v>
      </c>
      <c r="O28" s="240">
        <f>'пр к ПП1'!J35</f>
        <v>88004.584999999992</v>
      </c>
      <c r="P28" s="240">
        <f>'пр к ПП1'!K35</f>
        <v>88004.584999999992</v>
      </c>
      <c r="Q28" s="240">
        <f t="shared" si="29"/>
        <v>269513.755</v>
      </c>
      <c r="R28" s="116"/>
      <c r="S28" s="199">
        <f t="shared" si="8"/>
        <v>458724.02673999988</v>
      </c>
      <c r="W28" s="116"/>
    </row>
    <row r="29" spans="1:23" s="200" customFormat="1" ht="48" x14ac:dyDescent="0.3">
      <c r="A29" s="404"/>
      <c r="B29" s="411"/>
      <c r="C29" s="411"/>
      <c r="D29" s="6" t="s">
        <v>101</v>
      </c>
      <c r="E29" s="37"/>
      <c r="F29" s="37">
        <v>0</v>
      </c>
      <c r="G29" s="37"/>
      <c r="H29" s="37"/>
      <c r="I29" s="36"/>
      <c r="J29" s="36"/>
      <c r="K29" s="36"/>
      <c r="L29" s="36"/>
      <c r="M29" s="36"/>
      <c r="N29" s="240"/>
      <c r="O29" s="240"/>
      <c r="P29" s="240"/>
      <c r="Q29" s="240">
        <f t="shared" si="29"/>
        <v>0</v>
      </c>
      <c r="R29" s="116"/>
      <c r="S29" s="199">
        <f t="shared" si="8"/>
        <v>0</v>
      </c>
    </row>
    <row r="30" spans="1:23" s="203" customFormat="1" ht="19.5" thickBot="1" x14ac:dyDescent="0.35">
      <c r="A30" s="404"/>
      <c r="B30" s="411"/>
      <c r="C30" s="411"/>
      <c r="D30" s="131" t="s">
        <v>21</v>
      </c>
      <c r="E30" s="36"/>
      <c r="F30" s="36"/>
      <c r="G30" s="36">
        <v>200</v>
      </c>
      <c r="H30" s="36"/>
      <c r="I30" s="36"/>
      <c r="J30" s="36"/>
      <c r="K30" s="36"/>
      <c r="L30" s="36"/>
      <c r="M30" s="36"/>
      <c r="N30" s="240"/>
      <c r="O30" s="240"/>
      <c r="P30" s="240"/>
      <c r="Q30" s="240">
        <f t="shared" si="29"/>
        <v>0</v>
      </c>
      <c r="R30" s="201"/>
      <c r="S30" s="202">
        <f t="shared" si="8"/>
        <v>200</v>
      </c>
    </row>
    <row r="31" spans="1:23" s="198" customFormat="1" x14ac:dyDescent="0.3">
      <c r="A31" s="404" t="s">
        <v>83</v>
      </c>
      <c r="B31" s="411" t="s">
        <v>90</v>
      </c>
      <c r="C31" s="411" t="str">
        <f>'+ Приложение 6'!C25</f>
        <v>Организация транспортного обслуживания  на территории Туруханского района</v>
      </c>
      <c r="D31" s="205" t="s">
        <v>37</v>
      </c>
      <c r="E31" s="206">
        <f t="shared" ref="E31:H31" si="30">SUM(E33:E37)</f>
        <v>119174.72440000001</v>
      </c>
      <c r="F31" s="206">
        <f t="shared" si="30"/>
        <v>81921.9133</v>
      </c>
      <c r="G31" s="206">
        <f t="shared" si="30"/>
        <v>94460.706969999999</v>
      </c>
      <c r="H31" s="206">
        <f t="shared" si="30"/>
        <v>91047.031289999984</v>
      </c>
      <c r="I31" s="206">
        <f>SUM(I33:I37)</f>
        <v>106290.91970999999</v>
      </c>
      <c r="J31" s="206">
        <f>SUM(J33:J37)</f>
        <v>118180.678</v>
      </c>
      <c r="K31" s="206">
        <f>SUM(K33:K37)</f>
        <v>128821.81236</v>
      </c>
      <c r="L31" s="206">
        <f>SUM(L35)</f>
        <v>116262.37311</v>
      </c>
      <c r="M31" s="206">
        <f>SUM(M32:M37)</f>
        <v>228140.296</v>
      </c>
      <c r="N31" s="239">
        <f>SUM(N33:N37)</f>
        <v>199973.87299999999</v>
      </c>
      <c r="O31" s="239">
        <f t="shared" ref="O31:P31" si="31">SUM(O33:O37)</f>
        <v>199973.87299999999</v>
      </c>
      <c r="P31" s="239">
        <f t="shared" si="31"/>
        <v>199973.87299999999</v>
      </c>
      <c r="Q31" s="239">
        <f>'+ пр к ПП2'!K16+'+ пр к ПП2'!K18+'+ пр к ПП2'!K23+'+ пр к ПП2'!K25+'+ пр к ПП2'!K28+'+ пр к ПП2'!K31+'+ пр к ПП2'!K34+'+ пр к ПП2'!K37</f>
        <v>599921.61899999995</v>
      </c>
      <c r="R31" s="196">
        <f>Q31-'+ Приложение 6'!L25</f>
        <v>0</v>
      </c>
      <c r="S31" s="197">
        <f t="shared" si="8"/>
        <v>1684222.0741399997</v>
      </c>
      <c r="T31" s="198" t="b">
        <f>SUM(S33:S37)=S31</f>
        <v>1</v>
      </c>
    </row>
    <row r="32" spans="1:23" s="200" customFormat="1" x14ac:dyDescent="0.3">
      <c r="A32" s="404"/>
      <c r="B32" s="411"/>
      <c r="C32" s="411"/>
      <c r="D32" s="131" t="s">
        <v>20</v>
      </c>
      <c r="E32" s="36"/>
      <c r="F32" s="36"/>
      <c r="G32" s="36"/>
      <c r="H32" s="36"/>
      <c r="I32" s="36"/>
      <c r="J32" s="36"/>
      <c r="K32" s="36"/>
      <c r="L32" s="36"/>
      <c r="M32" s="36"/>
      <c r="N32" s="240"/>
      <c r="O32" s="240"/>
      <c r="P32" s="240"/>
      <c r="Q32" s="240"/>
      <c r="R32" s="116"/>
      <c r="S32" s="199">
        <f t="shared" si="8"/>
        <v>0</v>
      </c>
    </row>
    <row r="33" spans="1:23" s="200" customFormat="1" x14ac:dyDescent="0.3">
      <c r="A33" s="404"/>
      <c r="B33" s="411"/>
      <c r="C33" s="411"/>
      <c r="D33" s="5" t="s">
        <v>99</v>
      </c>
      <c r="E33" s="36"/>
      <c r="F33" s="36"/>
      <c r="G33" s="36"/>
      <c r="H33" s="36"/>
      <c r="I33" s="36"/>
      <c r="J33" s="36"/>
      <c r="K33" s="36"/>
      <c r="L33" s="36"/>
      <c r="M33" s="36"/>
      <c r="N33" s="240"/>
      <c r="O33" s="240"/>
      <c r="P33" s="240"/>
      <c r="Q33" s="240">
        <f t="shared" ref="Q33:Q38" si="32">SUM(N33:P33)</f>
        <v>0</v>
      </c>
      <c r="R33" s="116"/>
      <c r="S33" s="199">
        <f t="shared" si="8"/>
        <v>0</v>
      </c>
      <c r="U33" s="200">
        <f>102577093+26642837+810700+320000+10048500+2475000</f>
        <v>142874130</v>
      </c>
      <c r="V33" s="116">
        <f>U33/1000</f>
        <v>142874.13</v>
      </c>
      <c r="W33" s="116">
        <f>V33-K35</f>
        <v>14052.317640000008</v>
      </c>
    </row>
    <row r="34" spans="1:23" s="200" customFormat="1" x14ac:dyDescent="0.3">
      <c r="A34" s="404"/>
      <c r="B34" s="411"/>
      <c r="C34" s="411"/>
      <c r="D34" s="131" t="s">
        <v>100</v>
      </c>
      <c r="E34" s="36"/>
      <c r="F34" s="36"/>
      <c r="G34" s="36"/>
      <c r="H34" s="36"/>
      <c r="I34" s="36"/>
      <c r="J34" s="36"/>
      <c r="K34" s="36"/>
      <c r="L34" s="36"/>
      <c r="M34" s="36"/>
      <c r="N34" s="240"/>
      <c r="O34" s="240"/>
      <c r="P34" s="240"/>
      <c r="Q34" s="240">
        <f t="shared" si="32"/>
        <v>0</v>
      </c>
      <c r="R34" s="116"/>
      <c r="S34" s="199">
        <f t="shared" si="8"/>
        <v>0</v>
      </c>
    </row>
    <row r="35" spans="1:23" s="200" customFormat="1" x14ac:dyDescent="0.3">
      <c r="A35" s="404"/>
      <c r="B35" s="411"/>
      <c r="C35" s="411"/>
      <c r="D35" s="131" t="s">
        <v>40</v>
      </c>
      <c r="E35" s="36">
        <v>119174.72440000001</v>
      </c>
      <c r="F35" s="36">
        <v>81921.9133</v>
      </c>
      <c r="G35" s="36">
        <v>94460.706969999999</v>
      </c>
      <c r="H35" s="36">
        <v>91047.031289999984</v>
      </c>
      <c r="I35" s="36">
        <v>106290.91970999999</v>
      </c>
      <c r="J35" s="36">
        <v>118180.678</v>
      </c>
      <c r="K35" s="36">
        <v>128821.81236</v>
      </c>
      <c r="L35" s="36">
        <v>116262.37311</v>
      </c>
      <c r="M35" s="36">
        <v>228140.296</v>
      </c>
      <c r="N35" s="240">
        <f>'+ пр к ПП2'!H44</f>
        <v>199973.87299999999</v>
      </c>
      <c r="O35" s="240">
        <f>'+ пр к ПП2'!I44</f>
        <v>199973.87299999999</v>
      </c>
      <c r="P35" s="240">
        <f>'+ пр к ПП2'!J44</f>
        <v>199973.87299999999</v>
      </c>
      <c r="Q35" s="240">
        <f>SUM(N35:P35)</f>
        <v>599921.61899999995</v>
      </c>
      <c r="R35" s="116"/>
      <c r="S35" s="199">
        <f t="shared" si="8"/>
        <v>1684222.0741399997</v>
      </c>
    </row>
    <row r="36" spans="1:23" s="200" customFormat="1" ht="48" x14ac:dyDescent="0.3">
      <c r="A36" s="404"/>
      <c r="B36" s="411"/>
      <c r="C36" s="411"/>
      <c r="D36" s="6" t="s">
        <v>101</v>
      </c>
      <c r="E36" s="37"/>
      <c r="F36" s="37"/>
      <c r="G36" s="37"/>
      <c r="H36" s="37"/>
      <c r="I36" s="36"/>
      <c r="J36" s="36"/>
      <c r="K36" s="36"/>
      <c r="L36" s="36"/>
      <c r="M36" s="36"/>
      <c r="N36" s="240"/>
      <c r="O36" s="240"/>
      <c r="P36" s="240"/>
      <c r="Q36" s="240">
        <f t="shared" si="32"/>
        <v>0</v>
      </c>
      <c r="R36" s="116"/>
      <c r="S36" s="199">
        <f t="shared" si="8"/>
        <v>0</v>
      </c>
    </row>
    <row r="37" spans="1:23" s="203" customFormat="1" ht="19.5" thickBot="1" x14ac:dyDescent="0.35">
      <c r="A37" s="404"/>
      <c r="B37" s="411"/>
      <c r="C37" s="411"/>
      <c r="D37" s="131" t="s">
        <v>21</v>
      </c>
      <c r="E37" s="36"/>
      <c r="F37" s="36"/>
      <c r="G37" s="36"/>
      <c r="H37" s="36"/>
      <c r="I37" s="36"/>
      <c r="J37" s="36"/>
      <c r="K37" s="36"/>
      <c r="L37" s="36"/>
      <c r="M37" s="36"/>
      <c r="N37" s="240"/>
      <c r="O37" s="240"/>
      <c r="P37" s="240"/>
      <c r="Q37" s="240">
        <f t="shared" si="32"/>
        <v>0</v>
      </c>
      <c r="R37" s="201"/>
      <c r="S37" s="202">
        <f t="shared" si="8"/>
        <v>0</v>
      </c>
    </row>
    <row r="38" spans="1:23" s="198" customFormat="1" x14ac:dyDescent="0.3">
      <c r="A38" s="404" t="s">
        <v>85</v>
      </c>
      <c r="B38" s="411" t="s">
        <v>91</v>
      </c>
      <c r="C38" s="411" t="str">
        <f>'+ Приложение 6'!C30</f>
        <v>Безопасность дорожного движения в Туруханском районе</v>
      </c>
      <c r="D38" s="205" t="s">
        <v>37</v>
      </c>
      <c r="E38" s="206">
        <f t="shared" ref="E38:H38" si="33">SUM(E40:E44)</f>
        <v>23.4</v>
      </c>
      <c r="F38" s="206">
        <f t="shared" si="33"/>
        <v>0</v>
      </c>
      <c r="G38" s="206">
        <f t="shared" si="33"/>
        <v>463.12</v>
      </c>
      <c r="H38" s="206">
        <f t="shared" si="33"/>
        <v>152.5</v>
      </c>
      <c r="I38" s="206">
        <f>SUM(I40:I44)</f>
        <v>80</v>
      </c>
      <c r="J38" s="206">
        <f t="shared" ref="J38:N38" si="34">SUM(J40:J44)</f>
        <v>220.5</v>
      </c>
      <c r="K38" s="206">
        <f t="shared" si="34"/>
        <v>744</v>
      </c>
      <c r="L38" s="206">
        <f>SUM(L41:L42)</f>
        <v>0</v>
      </c>
      <c r="M38" s="206">
        <f>SUM(M41:M42)</f>
        <v>0</v>
      </c>
      <c r="N38" s="239">
        <f t="shared" si="34"/>
        <v>0</v>
      </c>
      <c r="O38" s="239">
        <f t="shared" ref="O38:P38" si="35">SUM(O40:O44)</f>
        <v>0</v>
      </c>
      <c r="P38" s="239">
        <f t="shared" si="35"/>
        <v>0</v>
      </c>
      <c r="Q38" s="239">
        <f t="shared" si="32"/>
        <v>0</v>
      </c>
      <c r="R38" s="204">
        <f>Q38-'+ Приложение 6'!L30</f>
        <v>0</v>
      </c>
      <c r="S38" s="197">
        <f t="shared" si="8"/>
        <v>1683.52</v>
      </c>
      <c r="T38" s="198" t="b">
        <f>SUM(S40:S44)=S38</f>
        <v>1</v>
      </c>
    </row>
    <row r="39" spans="1:23" s="200" customFormat="1" x14ac:dyDescent="0.3">
      <c r="A39" s="404"/>
      <c r="B39" s="411"/>
      <c r="C39" s="411"/>
      <c r="D39" s="131" t="s">
        <v>20</v>
      </c>
      <c r="E39" s="36"/>
      <c r="F39" s="36"/>
      <c r="G39" s="36"/>
      <c r="H39" s="36"/>
      <c r="I39" s="36"/>
      <c r="J39" s="36"/>
      <c r="K39" s="36"/>
      <c r="L39" s="36"/>
      <c r="M39" s="36"/>
      <c r="N39" s="240"/>
      <c r="O39" s="240"/>
      <c r="P39" s="240"/>
      <c r="Q39" s="240"/>
      <c r="R39" s="116"/>
      <c r="S39" s="199">
        <f t="shared" si="8"/>
        <v>0</v>
      </c>
    </row>
    <row r="40" spans="1:23" s="200" customFormat="1" x14ac:dyDescent="0.3">
      <c r="A40" s="404"/>
      <c r="B40" s="411"/>
      <c r="C40" s="411"/>
      <c r="D40" s="5" t="s">
        <v>99</v>
      </c>
      <c r="E40" s="36"/>
      <c r="F40" s="36"/>
      <c r="G40" s="36"/>
      <c r="H40" s="36"/>
      <c r="I40" s="36"/>
      <c r="J40" s="36"/>
      <c r="K40" s="36"/>
      <c r="L40" s="36"/>
      <c r="M40" s="36"/>
      <c r="N40" s="240"/>
      <c r="O40" s="240"/>
      <c r="P40" s="240"/>
      <c r="Q40" s="240">
        <f t="shared" ref="Q40:Q45" si="36">SUM(N40:P40)</f>
        <v>0</v>
      </c>
      <c r="R40" s="116"/>
      <c r="S40" s="199">
        <f t="shared" si="8"/>
        <v>0</v>
      </c>
    </row>
    <row r="41" spans="1:23" s="200" customFormat="1" x14ac:dyDescent="0.3">
      <c r="A41" s="404"/>
      <c r="B41" s="411"/>
      <c r="C41" s="411"/>
      <c r="D41" s="131" t="s">
        <v>100</v>
      </c>
      <c r="E41" s="36">
        <v>23.4</v>
      </c>
      <c r="F41" s="36">
        <v>0</v>
      </c>
      <c r="G41" s="36">
        <v>142.636</v>
      </c>
      <c r="H41" s="36">
        <v>152</v>
      </c>
      <c r="I41" s="36">
        <v>80</v>
      </c>
      <c r="J41" s="36">
        <v>220.5</v>
      </c>
      <c r="K41" s="36">
        <v>744</v>
      </c>
      <c r="L41" s="36">
        <v>0</v>
      </c>
      <c r="M41" s="36">
        <v>0</v>
      </c>
      <c r="N41" s="241">
        <f>'+пр к ПП3'!H18+'+пр к ПП3'!H22</f>
        <v>0</v>
      </c>
      <c r="O41" s="241">
        <f>'+пр к ПП3'!I18+'+пр к ПП3'!I22</f>
        <v>0</v>
      </c>
      <c r="P41" s="241">
        <f>'+пр к ПП3'!J18+'+пр к ПП3'!J22</f>
        <v>0</v>
      </c>
      <c r="Q41" s="241">
        <f t="shared" si="36"/>
        <v>0</v>
      </c>
      <c r="R41" s="116"/>
      <c r="S41" s="199">
        <f t="shared" si="8"/>
        <v>1362.5360000000001</v>
      </c>
    </row>
    <row r="42" spans="1:23" s="200" customFormat="1" x14ac:dyDescent="0.3">
      <c r="A42" s="404"/>
      <c r="B42" s="411"/>
      <c r="C42" s="411"/>
      <c r="D42" s="131" t="s">
        <v>40</v>
      </c>
      <c r="E42" s="36">
        <v>0</v>
      </c>
      <c r="F42" s="36">
        <v>0</v>
      </c>
      <c r="G42" s="36">
        <v>320.48399999999998</v>
      </c>
      <c r="H42" s="36">
        <v>0.5</v>
      </c>
      <c r="I42" s="36">
        <v>0</v>
      </c>
      <c r="J42" s="36">
        <f>'+пр к ПП3'!G16</f>
        <v>0</v>
      </c>
      <c r="K42" s="36">
        <v>0</v>
      </c>
      <c r="L42" s="36">
        <v>0</v>
      </c>
      <c r="M42" s="36">
        <v>0</v>
      </c>
      <c r="N42" s="240">
        <f>'+пр к ПП3'!H16</f>
        <v>0</v>
      </c>
      <c r="O42" s="240">
        <f>'+пр к ПП3'!I16</f>
        <v>0</v>
      </c>
      <c r="P42" s="240">
        <f>'+пр к ПП3'!J16</f>
        <v>0</v>
      </c>
      <c r="Q42" s="240">
        <f t="shared" si="36"/>
        <v>0</v>
      </c>
      <c r="R42" s="116"/>
      <c r="S42" s="199">
        <f t="shared" si="8"/>
        <v>320.98399999999998</v>
      </c>
    </row>
    <row r="43" spans="1:23" s="200" customFormat="1" ht="48" x14ac:dyDescent="0.3">
      <c r="A43" s="404"/>
      <c r="B43" s="411"/>
      <c r="C43" s="411"/>
      <c r="D43" s="6" t="s">
        <v>101</v>
      </c>
      <c r="E43" s="37"/>
      <c r="F43" s="37"/>
      <c r="G43" s="37"/>
      <c r="H43" s="37"/>
      <c r="I43" s="36"/>
      <c r="J43" s="36"/>
      <c r="K43" s="36"/>
      <c r="L43" s="36"/>
      <c r="M43" s="36"/>
      <c r="N43" s="240"/>
      <c r="O43" s="240"/>
      <c r="P43" s="240"/>
      <c r="Q43" s="240">
        <f t="shared" si="36"/>
        <v>0</v>
      </c>
      <c r="R43" s="116"/>
      <c r="S43" s="199">
        <f t="shared" si="8"/>
        <v>0</v>
      </c>
    </row>
    <row r="44" spans="1:23" s="203" customFormat="1" ht="19.5" thickBot="1" x14ac:dyDescent="0.35">
      <c r="A44" s="404"/>
      <c r="B44" s="411"/>
      <c r="C44" s="411"/>
      <c r="D44" s="131" t="s">
        <v>21</v>
      </c>
      <c r="E44" s="36"/>
      <c r="F44" s="36"/>
      <c r="G44" s="36"/>
      <c r="H44" s="36"/>
      <c r="I44" s="36"/>
      <c r="J44" s="36"/>
      <c r="K44" s="36"/>
      <c r="L44" s="36"/>
      <c r="M44" s="36"/>
      <c r="N44" s="240"/>
      <c r="O44" s="240"/>
      <c r="P44" s="240"/>
      <c r="Q44" s="240">
        <f t="shared" si="36"/>
        <v>0</v>
      </c>
      <c r="R44" s="201"/>
      <c r="S44" s="202">
        <f t="shared" si="8"/>
        <v>0</v>
      </c>
    </row>
    <row r="45" spans="1:23" s="198" customFormat="1" x14ac:dyDescent="0.3">
      <c r="A45" s="404" t="s">
        <v>86</v>
      </c>
      <c r="B45" s="411" t="s">
        <v>92</v>
      </c>
      <c r="C45" s="411" t="str">
        <f>'+ Приложение 6'!C34</f>
        <v>Развитие связи на территории Туруханского района</v>
      </c>
      <c r="D45" s="205" t="s">
        <v>37</v>
      </c>
      <c r="E45" s="206">
        <f t="shared" ref="E45:H45" si="37">SUM(E47:E51)</f>
        <v>7523.8671199999999</v>
      </c>
      <c r="F45" s="206">
        <f t="shared" si="37"/>
        <v>11940</v>
      </c>
      <c r="G45" s="206">
        <f t="shared" si="37"/>
        <v>9390.4</v>
      </c>
      <c r="H45" s="206">
        <f t="shared" si="37"/>
        <v>12264.716</v>
      </c>
      <c r="I45" s="206">
        <f>SUM(I47:I51)</f>
        <v>13067.336670000001</v>
      </c>
      <c r="J45" s="206">
        <f t="shared" ref="J45:N45" si="38">SUM(J47:J51)</f>
        <v>12667.773999999999</v>
      </c>
      <c r="K45" s="206">
        <f t="shared" si="38"/>
        <v>12516.454</v>
      </c>
      <c r="L45" s="206">
        <f>SUM(L48:L49)</f>
        <v>15651.936000000002</v>
      </c>
      <c r="M45" s="206">
        <f>SUM(M48:M49)</f>
        <v>12334.864</v>
      </c>
      <c r="N45" s="239">
        <f t="shared" si="38"/>
        <v>15600</v>
      </c>
      <c r="O45" s="239">
        <f t="shared" ref="O45:P45" si="39">SUM(O47:O51)</f>
        <v>15600</v>
      </c>
      <c r="P45" s="239">
        <f t="shared" si="39"/>
        <v>15600</v>
      </c>
      <c r="Q45" s="239">
        <f t="shared" si="36"/>
        <v>46800</v>
      </c>
      <c r="R45" s="196">
        <f>Q45-'+ Приложение 6'!L34</f>
        <v>0</v>
      </c>
      <c r="S45" s="197">
        <f t="shared" si="8"/>
        <v>154157.34779</v>
      </c>
      <c r="T45" s="198" t="b">
        <f>SUM(S47:S51)=S45</f>
        <v>1</v>
      </c>
    </row>
    <row r="46" spans="1:23" s="200" customFormat="1" x14ac:dyDescent="0.3">
      <c r="A46" s="404"/>
      <c r="B46" s="411"/>
      <c r="C46" s="411"/>
      <c r="D46" s="131" t="s">
        <v>20</v>
      </c>
      <c r="E46" s="36"/>
      <c r="F46" s="36"/>
      <c r="G46" s="36"/>
      <c r="H46" s="36"/>
      <c r="I46" s="36"/>
      <c r="J46" s="36"/>
      <c r="K46" s="36"/>
      <c r="L46" s="36"/>
      <c r="M46" s="36"/>
      <c r="N46" s="240"/>
      <c r="O46" s="240"/>
      <c r="P46" s="240"/>
      <c r="Q46" s="240"/>
      <c r="R46" s="116"/>
      <c r="S46" s="199">
        <f t="shared" si="8"/>
        <v>0</v>
      </c>
    </row>
    <row r="47" spans="1:23" s="200" customFormat="1" x14ac:dyDescent="0.3">
      <c r="A47" s="404"/>
      <c r="B47" s="411"/>
      <c r="C47" s="411"/>
      <c r="D47" s="5" t="s">
        <v>99</v>
      </c>
      <c r="E47" s="36"/>
      <c r="F47" s="36"/>
      <c r="G47" s="36"/>
      <c r="H47" s="36"/>
      <c r="I47" s="36"/>
      <c r="J47" s="36"/>
      <c r="K47" s="36"/>
      <c r="L47" s="36"/>
      <c r="M47" s="36"/>
      <c r="N47" s="240"/>
      <c r="O47" s="240"/>
      <c r="P47" s="240"/>
      <c r="Q47" s="240">
        <f t="shared" ref="Q47:Q51" si="40">SUM(N47:P47)</f>
        <v>0</v>
      </c>
      <c r="R47" s="116"/>
      <c r="S47" s="199">
        <f t="shared" si="8"/>
        <v>0</v>
      </c>
    </row>
    <row r="48" spans="1:23" s="200" customFormat="1" x14ac:dyDescent="0.3">
      <c r="A48" s="404"/>
      <c r="B48" s="411"/>
      <c r="C48" s="411"/>
      <c r="D48" s="131" t="s">
        <v>100</v>
      </c>
      <c r="E48" s="36"/>
      <c r="F48" s="36"/>
      <c r="G48" s="36"/>
      <c r="H48" s="36">
        <v>2260</v>
      </c>
      <c r="I48" s="36">
        <v>3062.2</v>
      </c>
      <c r="J48" s="36">
        <f>2654.435</f>
        <v>2654.4349999999999</v>
      </c>
      <c r="K48" s="36">
        <v>2516.4540000000002</v>
      </c>
      <c r="L48" s="36">
        <v>1249.4321399999999</v>
      </c>
      <c r="M48" s="36">
        <v>1731.39428</v>
      </c>
      <c r="N48" s="240">
        <f>'+пр к ПП4'!I17</f>
        <v>0</v>
      </c>
      <c r="O48" s="240">
        <f>'+пр к ПП4'!J17</f>
        <v>0</v>
      </c>
      <c r="P48" s="240">
        <f>'+пр к ПП4'!K17</f>
        <v>0</v>
      </c>
      <c r="Q48" s="240">
        <f t="shared" si="40"/>
        <v>0</v>
      </c>
      <c r="R48" s="116"/>
      <c r="S48" s="199">
        <f t="shared" si="8"/>
        <v>13473.915420000001</v>
      </c>
      <c r="V48" s="200">
        <v>2667.7739999999999</v>
      </c>
      <c r="W48" s="116">
        <f>V48-J48</f>
        <v>13.338999999999942</v>
      </c>
    </row>
    <row r="49" spans="1:27" s="200" customFormat="1" x14ac:dyDescent="0.3">
      <c r="A49" s="404"/>
      <c r="B49" s="411"/>
      <c r="C49" s="411"/>
      <c r="D49" s="131" t="s">
        <v>40</v>
      </c>
      <c r="E49" s="36">
        <v>7523.8671199999999</v>
      </c>
      <c r="F49" s="36">
        <v>11940</v>
      </c>
      <c r="G49" s="36">
        <v>9390.4</v>
      </c>
      <c r="H49" s="36">
        <v>10004.716</v>
      </c>
      <c r="I49" s="36">
        <v>10005.13667</v>
      </c>
      <c r="J49" s="36">
        <f>13.339+10000</f>
        <v>10013.339</v>
      </c>
      <c r="K49" s="36">
        <v>10000</v>
      </c>
      <c r="L49" s="36">
        <v>14402.503860000001</v>
      </c>
      <c r="M49" s="36">
        <v>10603.469719999999</v>
      </c>
      <c r="N49" s="240">
        <f>'+пр к ПП4'!I15+'+пр к ПП4'!I18</f>
        <v>15600</v>
      </c>
      <c r="O49" s="240">
        <f>'+пр к ПП4'!J15+'+пр к ПП4'!J18</f>
        <v>15600</v>
      </c>
      <c r="P49" s="240">
        <f>'+пр к ПП4'!K15+'+пр к ПП4'!K18</f>
        <v>15600</v>
      </c>
      <c r="Q49" s="240">
        <f t="shared" si="40"/>
        <v>46800</v>
      </c>
      <c r="R49" s="116"/>
      <c r="S49" s="199">
        <f t="shared" si="8"/>
        <v>140683.43236999999</v>
      </c>
      <c r="V49" s="200">
        <v>10000</v>
      </c>
      <c r="W49" s="116">
        <f>V49-J49</f>
        <v>-13.338999999999942</v>
      </c>
      <c r="Z49" s="200">
        <f>12667.7738</f>
        <v>12667.773800000001</v>
      </c>
      <c r="AA49" s="116">
        <f>Z49-J45</f>
        <v>-1.9999999858555384E-4</v>
      </c>
    </row>
    <row r="50" spans="1:27" s="200" customFormat="1" ht="48" x14ac:dyDescent="0.3">
      <c r="A50" s="404"/>
      <c r="B50" s="411"/>
      <c r="C50" s="411"/>
      <c r="D50" s="6" t="s">
        <v>101</v>
      </c>
      <c r="E50" s="37"/>
      <c r="F50" s="37"/>
      <c r="G50" s="37"/>
      <c r="H50" s="37"/>
      <c r="I50" s="36"/>
      <c r="J50" s="36"/>
      <c r="K50" s="36"/>
      <c r="L50" s="36"/>
      <c r="M50" s="36"/>
      <c r="N50" s="240"/>
      <c r="O50" s="240"/>
      <c r="P50" s="240"/>
      <c r="Q50" s="240">
        <f t="shared" si="40"/>
        <v>0</v>
      </c>
      <c r="R50" s="116"/>
      <c r="S50" s="199">
        <f t="shared" si="8"/>
        <v>0</v>
      </c>
    </row>
    <row r="51" spans="1:27" s="203" customFormat="1" ht="19.5" thickBot="1" x14ac:dyDescent="0.35">
      <c r="A51" s="404"/>
      <c r="B51" s="411"/>
      <c r="C51" s="411"/>
      <c r="D51" s="131" t="s">
        <v>21</v>
      </c>
      <c r="E51" s="36"/>
      <c r="F51" s="36"/>
      <c r="G51" s="36"/>
      <c r="H51" s="36"/>
      <c r="I51" s="36"/>
      <c r="J51" s="36"/>
      <c r="K51" s="36"/>
      <c r="L51" s="36"/>
      <c r="M51" s="36"/>
      <c r="N51" s="240"/>
      <c r="O51" s="240"/>
      <c r="P51" s="240"/>
      <c r="Q51" s="240">
        <f t="shared" si="40"/>
        <v>0</v>
      </c>
      <c r="R51" s="201"/>
      <c r="S51" s="202">
        <f t="shared" si="8"/>
        <v>0</v>
      </c>
    </row>
    <row r="52" spans="1:27" x14ac:dyDescent="0.3">
      <c r="A52" s="7"/>
      <c r="B52" s="4"/>
      <c r="C52" s="4"/>
      <c r="D52" s="4"/>
      <c r="E52" s="13"/>
      <c r="F52" s="13"/>
      <c r="G52" s="13"/>
      <c r="H52" s="13"/>
      <c r="I52" s="13"/>
      <c r="J52" s="13"/>
      <c r="L52" s="13"/>
      <c r="M52" s="13"/>
    </row>
    <row r="53" spans="1:27" x14ac:dyDescent="0.3">
      <c r="A53" s="7"/>
      <c r="B53" s="4"/>
      <c r="C53" s="4"/>
      <c r="D53" s="4"/>
      <c r="E53" s="13"/>
      <c r="F53" s="13"/>
      <c r="G53" s="13"/>
      <c r="H53" s="13"/>
      <c r="I53" s="13"/>
      <c r="J53" s="13"/>
      <c r="L53" s="13"/>
      <c r="M53" s="13"/>
    </row>
    <row r="54" spans="1:27" x14ac:dyDescent="0.3">
      <c r="A54" s="7"/>
      <c r="B54" s="4"/>
      <c r="C54" s="4"/>
      <c r="D54" s="4"/>
      <c r="E54" s="13"/>
      <c r="F54" s="13"/>
      <c r="G54" s="13"/>
      <c r="H54" s="13"/>
      <c r="I54" s="13"/>
      <c r="J54" s="13"/>
      <c r="L54" s="13"/>
      <c r="M54" s="13"/>
    </row>
    <row r="55" spans="1:27" x14ac:dyDescent="0.3">
      <c r="A55" s="7"/>
      <c r="B55" s="4"/>
      <c r="C55" s="4"/>
      <c r="D55" s="4"/>
      <c r="E55" s="13"/>
      <c r="F55" s="13"/>
      <c r="G55" s="13"/>
      <c r="H55" s="13"/>
      <c r="I55" s="13"/>
      <c r="J55" s="13"/>
      <c r="L55" s="13"/>
      <c r="M55" s="13"/>
    </row>
    <row r="56" spans="1:27" x14ac:dyDescent="0.3">
      <c r="A56" s="7"/>
      <c r="B56" s="4"/>
      <c r="C56" s="4"/>
      <c r="D56" s="4"/>
      <c r="E56" s="13"/>
      <c r="F56" s="13"/>
      <c r="G56" s="13"/>
      <c r="H56" s="13"/>
      <c r="I56" s="13"/>
      <c r="J56" s="13"/>
      <c r="L56" s="13"/>
      <c r="M56" s="13"/>
    </row>
    <row r="57" spans="1:27" x14ac:dyDescent="0.3">
      <c r="A57" s="7"/>
      <c r="B57" s="4"/>
      <c r="C57" s="4"/>
      <c r="D57" s="4"/>
      <c r="E57" s="13"/>
      <c r="F57" s="13"/>
      <c r="G57" s="13"/>
      <c r="H57" s="13"/>
      <c r="I57" s="13"/>
      <c r="J57" s="13"/>
      <c r="L57" s="13"/>
      <c r="M57" s="13"/>
    </row>
    <row r="58" spans="1:27" x14ac:dyDescent="0.3">
      <c r="A58" s="7"/>
      <c r="B58" s="4"/>
      <c r="C58" s="4"/>
      <c r="D58" s="4"/>
      <c r="E58" s="13"/>
      <c r="F58" s="13"/>
      <c r="G58" s="13"/>
      <c r="H58" s="13"/>
      <c r="I58" s="13"/>
      <c r="J58" s="13"/>
      <c r="L58" s="13"/>
      <c r="M58" s="13"/>
    </row>
    <row r="59" spans="1:27" s="142" customFormat="1" ht="15.75" outlineLevel="1" x14ac:dyDescent="0.25">
      <c r="A59" s="2"/>
      <c r="B59" s="1" t="s">
        <v>222</v>
      </c>
      <c r="C59" s="1"/>
      <c r="D59" s="1"/>
      <c r="E59" s="2"/>
      <c r="F59" s="1"/>
      <c r="G59" s="1"/>
      <c r="H59" s="1"/>
      <c r="I59" s="12"/>
      <c r="J59" s="12"/>
      <c r="K59" s="12"/>
      <c r="L59" s="12"/>
      <c r="M59" s="12"/>
      <c r="N59" s="1"/>
      <c r="O59" s="1"/>
      <c r="P59" s="1"/>
      <c r="Q59" s="1"/>
    </row>
    <row r="60" spans="1:27" s="142" customFormat="1" ht="15.75" outlineLevel="1" x14ac:dyDescent="0.25">
      <c r="A60" s="2"/>
      <c r="B60" s="1" t="s">
        <v>223</v>
      </c>
      <c r="C60" s="1"/>
      <c r="D60" s="1"/>
      <c r="E60" s="2"/>
      <c r="F60" s="1"/>
      <c r="G60" s="1"/>
      <c r="H60" s="1"/>
      <c r="I60" s="12"/>
      <c r="J60" s="12"/>
      <c r="K60" s="12"/>
      <c r="L60" s="12"/>
      <c r="M60" s="12"/>
      <c r="N60" s="1" t="b">
        <f>N24='пр к ПП1'!I35</f>
        <v>1</v>
      </c>
      <c r="O60" s="1" t="b">
        <f>O24='пр к ПП1'!J35</f>
        <v>1</v>
      </c>
      <c r="P60" s="1" t="b">
        <f>P24='пр к ПП1'!K35</f>
        <v>1</v>
      </c>
      <c r="Q60" s="1" t="b">
        <f>Q24='пр к ПП1'!L35</f>
        <v>1</v>
      </c>
      <c r="R60" s="142" t="b">
        <f>R33='пр к ПП1'!L47</f>
        <v>1</v>
      </c>
    </row>
    <row r="61" spans="1:27" s="142" customFormat="1" ht="15.75" outlineLevel="1" x14ac:dyDescent="0.25">
      <c r="A61" s="2"/>
      <c r="B61" s="1" t="s">
        <v>224</v>
      </c>
      <c r="C61" s="1"/>
      <c r="D61" s="1"/>
      <c r="E61" s="2"/>
      <c r="F61" s="1"/>
      <c r="G61" s="1"/>
      <c r="H61" s="1"/>
      <c r="I61" s="12"/>
      <c r="J61" s="12"/>
      <c r="K61" s="12"/>
      <c r="L61" s="12"/>
      <c r="M61" s="12"/>
      <c r="N61" s="1" t="b">
        <f>N31='+ пр к ПП2'!H44</f>
        <v>1</v>
      </c>
      <c r="O61" s="1" t="b">
        <f>O31='+ пр к ПП2'!I44</f>
        <v>1</v>
      </c>
      <c r="P61" s="1" t="b">
        <f>P31='+ пр к ПП2'!J44</f>
        <v>1</v>
      </c>
      <c r="Q61" s="1" t="b">
        <f>Q31='+ пр к ПП2'!K44</f>
        <v>1</v>
      </c>
      <c r="R61" s="142" t="b">
        <f>R37='+ пр к ПП2'!K56</f>
        <v>1</v>
      </c>
    </row>
    <row r="62" spans="1:27" s="142" customFormat="1" ht="15.75" outlineLevel="1" x14ac:dyDescent="0.25">
      <c r="A62" s="2"/>
      <c r="B62" s="1" t="s">
        <v>225</v>
      </c>
      <c r="C62" s="1"/>
      <c r="D62" s="1"/>
      <c r="E62" s="2"/>
      <c r="F62" s="1"/>
      <c r="G62" s="1"/>
      <c r="H62" s="1"/>
      <c r="I62" s="12"/>
      <c r="J62" s="12"/>
      <c r="K62" s="12"/>
      <c r="L62" s="12"/>
      <c r="M62" s="12"/>
      <c r="N62" s="1" t="b">
        <f>N38='+пр к ПП3'!H24</f>
        <v>1</v>
      </c>
      <c r="O62" s="1" t="b">
        <f>O38='+пр к ПП3'!I24</f>
        <v>1</v>
      </c>
      <c r="P62" s="1" t="b">
        <f>P38='+пр к ПП3'!J24</f>
        <v>1</v>
      </c>
      <c r="Q62" s="1" t="b">
        <f>Q38='+пр к ПП3'!K24</f>
        <v>1</v>
      </c>
      <c r="R62" s="142" t="b">
        <f>R41='+пр к ПП3'!K36</f>
        <v>1</v>
      </c>
    </row>
    <row r="63" spans="1:27" s="142" customFormat="1" ht="15.75" outlineLevel="1" x14ac:dyDescent="0.25">
      <c r="A63" s="2"/>
      <c r="B63" s="1" t="s">
        <v>226</v>
      </c>
      <c r="C63" s="1"/>
      <c r="D63" s="1"/>
      <c r="E63" s="2"/>
      <c r="F63" s="1"/>
      <c r="G63" s="1"/>
      <c r="H63" s="1"/>
      <c r="I63" s="12"/>
      <c r="J63" s="12"/>
      <c r="K63" s="12"/>
      <c r="L63" s="12"/>
      <c r="M63" s="12"/>
      <c r="N63" s="1" t="b">
        <f>N45='+пр к ПП4'!I20</f>
        <v>1</v>
      </c>
      <c r="O63" s="1" t="b">
        <f>O45='+пр к ПП4'!J20</f>
        <v>1</v>
      </c>
      <c r="P63" s="1" t="b">
        <f>P45='+пр к ПП4'!K20</f>
        <v>1</v>
      </c>
      <c r="Q63" s="1" t="b">
        <f>Q45='+пр к ПП4'!L20</f>
        <v>1</v>
      </c>
      <c r="R63" s="142" t="b">
        <f>R45='+пр к ПП4'!M20</f>
        <v>0</v>
      </c>
    </row>
    <row r="64" spans="1:27" s="142" customFormat="1" ht="15.75" outlineLevel="1" x14ac:dyDescent="0.25">
      <c r="A64" s="2"/>
      <c r="B64" s="1"/>
      <c r="C64" s="1"/>
      <c r="D64" s="1"/>
      <c r="E64" s="2"/>
      <c r="F64" s="1"/>
      <c r="G64" s="1"/>
      <c r="H64" s="1"/>
      <c r="I64" s="12"/>
      <c r="J64" s="12"/>
      <c r="K64" s="12"/>
      <c r="L64" s="12"/>
      <c r="M64" s="12"/>
      <c r="N64" s="1"/>
      <c r="O64" s="1"/>
      <c r="P64" s="1"/>
      <c r="Q64" s="1"/>
    </row>
    <row r="65" spans="1:18" s="142" customFormat="1" ht="15.75" outlineLevel="1" x14ac:dyDescent="0.25">
      <c r="A65" s="2"/>
      <c r="B65" s="1"/>
      <c r="C65" s="1"/>
      <c r="D65" s="1"/>
      <c r="E65" s="2"/>
      <c r="F65" s="1"/>
      <c r="G65" s="1"/>
      <c r="H65" s="1"/>
      <c r="I65" s="12"/>
      <c r="J65" s="12"/>
      <c r="K65" s="12"/>
      <c r="L65" s="12"/>
      <c r="M65" s="12"/>
      <c r="N65" s="1"/>
      <c r="O65" s="1"/>
      <c r="P65" s="1"/>
      <c r="Q65" s="1"/>
    </row>
    <row r="66" spans="1:18" s="142" customFormat="1" ht="15.75" outlineLevel="1" x14ac:dyDescent="0.25">
      <c r="A66" s="2"/>
      <c r="B66" s="1" t="s">
        <v>223</v>
      </c>
      <c r="C66" s="1"/>
      <c r="D66" s="1"/>
      <c r="E66" s="2"/>
      <c r="F66" s="1"/>
      <c r="G66" s="1"/>
      <c r="H66" s="1"/>
      <c r="I66" s="95">
        <f>I24-'пр к ПП1'!I35</f>
        <v>-46949.796839999981</v>
      </c>
      <c r="J66" s="95"/>
      <c r="K66" s="95"/>
      <c r="L66" s="95"/>
      <c r="M66" s="95"/>
      <c r="N66" s="242">
        <f>N24-'пр к ПП1'!I35</f>
        <v>0</v>
      </c>
      <c r="O66" s="242">
        <f>O24-'пр к ПП1'!J35</f>
        <v>0</v>
      </c>
      <c r="P66" s="242">
        <f>P24-'пр к ПП1'!K35</f>
        <v>0</v>
      </c>
      <c r="Q66" s="242">
        <f>Q24-'пр к ПП1'!L35</f>
        <v>0</v>
      </c>
      <c r="R66" s="187">
        <f>R33-'пр к ПП1'!L47</f>
        <v>0</v>
      </c>
    </row>
    <row r="67" spans="1:18" s="142" customFormat="1" ht="15.75" outlineLevel="1" x14ac:dyDescent="0.25">
      <c r="A67" s="2"/>
      <c r="B67" s="1" t="s">
        <v>224</v>
      </c>
      <c r="C67" s="1"/>
      <c r="D67" s="1"/>
      <c r="E67" s="2"/>
      <c r="F67" s="1"/>
      <c r="G67" s="1"/>
      <c r="H67" s="1"/>
      <c r="I67" s="95">
        <f>I31-'+ пр к ПП2'!H44</f>
        <v>-93682.953290000005</v>
      </c>
      <c r="J67" s="95"/>
      <c r="K67" s="95"/>
      <c r="L67" s="95"/>
      <c r="M67" s="95"/>
      <c r="N67" s="242">
        <f>N31-'+ пр к ПП2'!H44</f>
        <v>0</v>
      </c>
      <c r="O67" s="242">
        <f>O31-'+ пр к ПП2'!I44</f>
        <v>0</v>
      </c>
      <c r="P67" s="242">
        <f>P31-'+ пр к ПП2'!J44</f>
        <v>0</v>
      </c>
      <c r="Q67" s="242">
        <f>Q31-'+ пр к ПП2'!K44</f>
        <v>0</v>
      </c>
      <c r="R67" s="187">
        <f>R37-'+ пр к ПП2'!K56</f>
        <v>0</v>
      </c>
    </row>
    <row r="68" spans="1:18" s="142" customFormat="1" ht="15.75" outlineLevel="1" x14ac:dyDescent="0.25">
      <c r="A68" s="2"/>
      <c r="B68" s="1" t="s">
        <v>225</v>
      </c>
      <c r="C68" s="1"/>
      <c r="D68" s="1"/>
      <c r="E68" s="2"/>
      <c r="F68" s="1"/>
      <c r="G68" s="1"/>
      <c r="H68" s="1"/>
      <c r="I68" s="95">
        <f>I38-'+пр к ПП3'!H24</f>
        <v>80</v>
      </c>
      <c r="J68" s="95"/>
      <c r="K68" s="95"/>
      <c r="L68" s="95"/>
      <c r="M68" s="95"/>
      <c r="N68" s="242">
        <f>N38-'+пр к ПП3'!H24</f>
        <v>0</v>
      </c>
      <c r="O68" s="242">
        <f>O38-'+пр к ПП3'!I24</f>
        <v>0</v>
      </c>
      <c r="P68" s="242">
        <f>P38-'+пр к ПП3'!J24</f>
        <v>0</v>
      </c>
      <c r="Q68" s="242">
        <f>Q38-'+пр к ПП3'!K24</f>
        <v>0</v>
      </c>
      <c r="R68" s="187">
        <f>R41-'+пр к ПП3'!K36</f>
        <v>0</v>
      </c>
    </row>
    <row r="69" spans="1:18" s="142" customFormat="1" ht="15.75" outlineLevel="1" x14ac:dyDescent="0.25">
      <c r="A69" s="2"/>
      <c r="B69" s="1" t="s">
        <v>226</v>
      </c>
      <c r="C69" s="1"/>
      <c r="D69" s="1"/>
      <c r="E69" s="2"/>
      <c r="F69" s="1"/>
      <c r="G69" s="1"/>
      <c r="H69" s="1"/>
      <c r="I69" s="95">
        <f>I45-'+пр к ПП4'!I20</f>
        <v>-2532.6633299999994</v>
      </c>
      <c r="J69" s="95"/>
      <c r="K69" s="95"/>
      <c r="L69" s="95"/>
      <c r="M69" s="95"/>
      <c r="N69" s="242">
        <f>N45-'+пр к ПП4'!I20</f>
        <v>0</v>
      </c>
      <c r="O69" s="242">
        <f>O45-'+пр к ПП4'!J20</f>
        <v>0</v>
      </c>
      <c r="P69" s="242">
        <f>P45-'+пр к ПП4'!K20</f>
        <v>0</v>
      </c>
      <c r="Q69" s="242">
        <f>Q45-'+пр к ПП4'!L20</f>
        <v>0</v>
      </c>
      <c r="R69" s="187">
        <f>R45-'+пр к ПП4'!L32</f>
        <v>0</v>
      </c>
    </row>
    <row r="70" spans="1:18" outlineLevel="1" x14ac:dyDescent="0.3">
      <c r="A70" s="7"/>
      <c r="B70" s="4"/>
      <c r="C70" s="4"/>
      <c r="D70" s="4"/>
      <c r="E70" s="13"/>
      <c r="F70" s="13"/>
      <c r="G70" s="13"/>
      <c r="H70" s="13"/>
      <c r="I70" s="13"/>
      <c r="J70" s="13"/>
      <c r="L70" s="13"/>
      <c r="M70" s="13"/>
    </row>
    <row r="71" spans="1:18" outlineLevel="1" x14ac:dyDescent="0.3">
      <c r="A71" s="7"/>
      <c r="B71" s="4"/>
      <c r="C71" s="4"/>
      <c r="D71" s="4"/>
      <c r="E71" s="13"/>
      <c r="F71" s="13"/>
      <c r="G71" s="13"/>
      <c r="H71" s="13"/>
      <c r="I71" s="13"/>
      <c r="J71" s="13"/>
      <c r="L71" s="13"/>
      <c r="M71" s="13"/>
    </row>
    <row r="72" spans="1:18" x14ac:dyDescent="0.3">
      <c r="A72" s="7"/>
      <c r="B72" s="4"/>
      <c r="C72" s="4"/>
      <c r="D72" s="4"/>
      <c r="E72" s="13"/>
      <c r="F72" s="13"/>
      <c r="G72" s="13"/>
      <c r="H72" s="13"/>
      <c r="I72" s="13"/>
      <c r="J72" s="13"/>
      <c r="L72" s="13"/>
      <c r="M72" s="13"/>
    </row>
    <row r="73" spans="1:18" x14ac:dyDescent="0.3">
      <c r="A73" s="7"/>
      <c r="B73" s="4"/>
      <c r="C73" s="4"/>
      <c r="D73" s="4"/>
      <c r="E73" s="13"/>
      <c r="F73" s="13"/>
      <c r="G73" s="13"/>
      <c r="H73" s="13"/>
      <c r="I73" s="13"/>
      <c r="J73" s="13"/>
      <c r="L73" s="13"/>
      <c r="M73" s="13"/>
    </row>
    <row r="74" spans="1:18" x14ac:dyDescent="0.3">
      <c r="A74" s="7"/>
      <c r="B74" s="4"/>
      <c r="C74" s="4"/>
      <c r="D74" s="4"/>
      <c r="E74" s="13"/>
      <c r="F74" s="13"/>
      <c r="G74" s="13"/>
      <c r="H74" s="13"/>
      <c r="I74" s="13"/>
      <c r="J74" s="13"/>
      <c r="L74" s="13"/>
      <c r="M74" s="13"/>
    </row>
  </sheetData>
  <mergeCells count="28">
    <mergeCell ref="A38:A44"/>
    <mergeCell ref="B38:B44"/>
    <mergeCell ref="C38:C44"/>
    <mergeCell ref="A45:A51"/>
    <mergeCell ref="Q14:Q15"/>
    <mergeCell ref="A17:A23"/>
    <mergeCell ref="B17:B23"/>
    <mergeCell ref="C17:C23"/>
    <mergeCell ref="A31:A37"/>
    <mergeCell ref="B31:B37"/>
    <mergeCell ref="C31:C37"/>
    <mergeCell ref="B45:B51"/>
    <mergeCell ref="C45:C51"/>
    <mergeCell ref="A24:A30"/>
    <mergeCell ref="B24:B30"/>
    <mergeCell ref="C24:C30"/>
    <mergeCell ref="N1:Q1"/>
    <mergeCell ref="A14:A15"/>
    <mergeCell ref="B14:B15"/>
    <mergeCell ref="C14:C15"/>
    <mergeCell ref="D14:D15"/>
    <mergeCell ref="A12:Q12"/>
    <mergeCell ref="A11:Q11"/>
    <mergeCell ref="N4:Q4"/>
    <mergeCell ref="A7:Q7"/>
    <mergeCell ref="A8:Q8"/>
    <mergeCell ref="A9:Q9"/>
    <mergeCell ref="A10:Q10"/>
  </mergeCells>
  <pageMargins left="0.78740157480314965" right="0.59055118110236227" top="1.1811023622047245" bottom="0.19685039370078741" header="0.11811023622047245" footer="0"/>
  <pageSetup paperSize="9" scale="74" fitToHeight="3" orientation="landscape" r:id="rId1"/>
  <rowBreaks count="1" manualBreakCount="1">
    <brk id="30" max="1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7" sqref="L7"/>
    </sheetView>
  </sheetViews>
  <sheetFormatPr defaultRowHeight="15.7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showZeros="0" topLeftCell="B1" zoomScale="85" zoomScaleNormal="85" workbookViewId="0">
      <selection activeCell="L7" sqref="L7"/>
    </sheetView>
  </sheetViews>
  <sheetFormatPr defaultRowHeight="15.75" x14ac:dyDescent="0.25"/>
  <cols>
    <col min="2" max="2" width="5" style="24" bestFit="1" customWidth="1"/>
    <col min="3" max="3" width="22.75" customWidth="1"/>
    <col min="4" max="4" width="25.375" customWidth="1"/>
    <col min="5" max="5" width="15.375" customWidth="1"/>
    <col min="6" max="6" width="13.625" bestFit="1" customWidth="1"/>
    <col min="7" max="8" width="13.625" customWidth="1"/>
    <col min="13" max="13" width="15.5" customWidth="1"/>
    <col min="14" max="15" width="12" customWidth="1"/>
  </cols>
  <sheetData>
    <row r="1" spans="1:16" x14ac:dyDescent="0.25">
      <c r="A1" s="412"/>
      <c r="B1" s="413" t="s">
        <v>19</v>
      </c>
      <c r="C1" s="413" t="s">
        <v>173</v>
      </c>
      <c r="D1" s="413" t="s">
        <v>174</v>
      </c>
      <c r="E1" s="413" t="s">
        <v>175</v>
      </c>
      <c r="F1" s="413" t="s">
        <v>176</v>
      </c>
      <c r="G1" s="413"/>
      <c r="H1" s="413"/>
      <c r="I1" s="413"/>
      <c r="J1" s="413"/>
      <c r="K1" s="422"/>
      <c r="M1" s="413" t="s">
        <v>176</v>
      </c>
      <c r="N1" s="413"/>
      <c r="O1" s="413"/>
      <c r="P1" s="413"/>
    </row>
    <row r="2" spans="1:16" x14ac:dyDescent="0.25">
      <c r="A2" s="412"/>
      <c r="B2" s="413"/>
      <c r="C2" s="413"/>
      <c r="D2" s="413"/>
      <c r="E2" s="413"/>
      <c r="F2" s="413" t="s">
        <v>177</v>
      </c>
      <c r="G2" s="413"/>
      <c r="H2" s="413"/>
      <c r="I2" s="413"/>
      <c r="J2" s="413" t="s">
        <v>178</v>
      </c>
      <c r="K2" s="422"/>
      <c r="M2" s="413" t="s">
        <v>177</v>
      </c>
      <c r="N2" s="413"/>
      <c r="O2" s="413"/>
      <c r="P2" s="413"/>
    </row>
    <row r="3" spans="1:16" x14ac:dyDescent="0.25">
      <c r="A3" s="412"/>
      <c r="B3" s="413"/>
      <c r="C3" s="413"/>
      <c r="D3" s="413"/>
      <c r="E3" s="413"/>
      <c r="F3" s="413" t="s">
        <v>179</v>
      </c>
      <c r="G3" s="413"/>
      <c r="H3" s="413"/>
      <c r="I3" s="413" t="s">
        <v>180</v>
      </c>
      <c r="J3" s="413"/>
      <c r="K3" s="422"/>
      <c r="M3" s="413" t="s">
        <v>179</v>
      </c>
      <c r="N3" s="413"/>
      <c r="O3" s="413"/>
      <c r="P3" s="413" t="s">
        <v>180</v>
      </c>
    </row>
    <row r="4" spans="1:16" x14ac:dyDescent="0.25">
      <c r="A4" s="412"/>
      <c r="B4" s="413"/>
      <c r="C4" s="413"/>
      <c r="D4" s="413"/>
      <c r="E4" s="413"/>
      <c r="F4" s="99" t="str">
        <f>LEFT('+ Приложение 6'!I12,4)</f>
        <v>2023</v>
      </c>
      <c r="G4" s="99" t="str">
        <f>LEFT('+ Приложение 6'!J12,4)</f>
        <v>2024</v>
      </c>
      <c r="H4" s="99" t="str">
        <f>LEFT('+ Приложение 6'!K12,4)</f>
        <v>2025</v>
      </c>
      <c r="I4" s="413"/>
      <c r="J4" s="413"/>
      <c r="K4" s="422"/>
      <c r="M4" s="102" t="str">
        <f>F4</f>
        <v>2023</v>
      </c>
      <c r="N4" s="102" t="str">
        <f t="shared" ref="N4:O4" si="0">G4</f>
        <v>2024</v>
      </c>
      <c r="O4" s="102" t="str">
        <f t="shared" si="0"/>
        <v>2025</v>
      </c>
      <c r="P4" s="413"/>
    </row>
    <row r="5" spans="1:16" ht="15.75" customHeight="1" x14ac:dyDescent="0.25">
      <c r="A5" s="412"/>
      <c r="B5" s="414">
        <v>1</v>
      </c>
      <c r="C5" s="415" t="str">
        <f>'пр к ПП1'!B15</f>
        <v>Расходы на содержание автомобильных дорог общего пользования местного значения (дорожный фонд)</v>
      </c>
      <c r="D5" s="22" t="s">
        <v>189</v>
      </c>
      <c r="E5" s="413" t="s">
        <v>182</v>
      </c>
      <c r="F5" s="25">
        <f>SUM(F6:F12)</f>
        <v>26.370200000000004</v>
      </c>
      <c r="G5" s="25">
        <f t="shared" ref="G5:H5" si="1">SUM(G6:G12)</f>
        <v>27.398600000000002</v>
      </c>
      <c r="H5" s="25">
        <f t="shared" si="1"/>
        <v>28.467099999999999</v>
      </c>
      <c r="I5" s="25">
        <f t="shared" ref="I5:I20" si="2">SUM(F5:H5)</f>
        <v>82.235900000000001</v>
      </c>
      <c r="J5" s="413" t="s">
        <v>190</v>
      </c>
      <c r="K5" s="422"/>
      <c r="M5" s="73">
        <f>SUM(M6:M12)</f>
        <v>26370.2</v>
      </c>
      <c r="N5" s="73">
        <f t="shared" ref="N5:O5" si="3">SUM(N6:N12)</f>
        <v>27398.6</v>
      </c>
      <c r="O5" s="73">
        <f t="shared" si="3"/>
        <v>28467.1</v>
      </c>
      <c r="P5" s="72">
        <f t="shared" ref="P5" si="4">SUM(M5:O5)</f>
        <v>82235.899999999994</v>
      </c>
    </row>
    <row r="6" spans="1:16" ht="25.5" x14ac:dyDescent="0.25">
      <c r="A6" s="412"/>
      <c r="B6" s="414"/>
      <c r="C6" s="415"/>
      <c r="D6" s="16" t="s">
        <v>187</v>
      </c>
      <c r="E6" s="413"/>
      <c r="F6" s="34">
        <f>M6/1000</f>
        <v>3.9563999999999999</v>
      </c>
      <c r="G6" s="34">
        <f t="shared" ref="G6:H12" si="5">N6/1000</f>
        <v>4.1100000000000003</v>
      </c>
      <c r="H6" s="34">
        <f t="shared" si="5"/>
        <v>4.2709999999999999</v>
      </c>
      <c r="I6" s="25">
        <f t="shared" si="2"/>
        <v>12.337399999999999</v>
      </c>
      <c r="J6" s="413"/>
      <c r="K6" s="422"/>
      <c r="M6" s="62">
        <f>F35</f>
        <v>3956.4</v>
      </c>
      <c r="N6" s="62">
        <f t="shared" ref="N6:O12" si="6">G35</f>
        <v>4110</v>
      </c>
      <c r="O6" s="62">
        <f t="shared" si="6"/>
        <v>4271</v>
      </c>
      <c r="P6" s="72"/>
    </row>
    <row r="7" spans="1:16" ht="25.5" x14ac:dyDescent="0.25">
      <c r="A7" s="412"/>
      <c r="B7" s="414"/>
      <c r="C7" s="415"/>
      <c r="D7" s="16" t="s">
        <v>196</v>
      </c>
      <c r="E7" s="413"/>
      <c r="F7" s="34">
        <f t="shared" ref="F7:F12" si="7">M7/1000</f>
        <v>0.87920000000000009</v>
      </c>
      <c r="G7" s="34">
        <f t="shared" si="5"/>
        <v>0.91400000000000003</v>
      </c>
      <c r="H7" s="34">
        <f t="shared" si="5"/>
        <v>0.95</v>
      </c>
      <c r="I7" s="25">
        <f t="shared" si="2"/>
        <v>2.7431999999999999</v>
      </c>
      <c r="J7" s="413"/>
      <c r="K7" s="422"/>
      <c r="M7" s="62">
        <f t="shared" ref="M7:M12" si="8">F36</f>
        <v>879.2</v>
      </c>
      <c r="N7" s="62">
        <f t="shared" si="6"/>
        <v>914</v>
      </c>
      <c r="O7" s="62">
        <f t="shared" si="6"/>
        <v>950</v>
      </c>
      <c r="P7" s="72">
        <f t="shared" ref="P7:P20" si="9">SUM(M7:O7)</f>
        <v>2743.2</v>
      </c>
    </row>
    <row r="8" spans="1:16" ht="25.5" x14ac:dyDescent="0.25">
      <c r="A8" s="412"/>
      <c r="B8" s="414"/>
      <c r="C8" s="415"/>
      <c r="D8" s="16" t="s">
        <v>188</v>
      </c>
      <c r="E8" s="413"/>
      <c r="F8" s="34">
        <f t="shared" si="7"/>
        <v>2.8134000000000001</v>
      </c>
      <c r="G8" s="34">
        <f t="shared" si="5"/>
        <v>2.9220000000000002</v>
      </c>
      <c r="H8" s="34">
        <f t="shared" si="5"/>
        <v>3.036</v>
      </c>
      <c r="I8" s="25">
        <f t="shared" si="2"/>
        <v>8.7713999999999999</v>
      </c>
      <c r="J8" s="413"/>
      <c r="K8" s="422"/>
      <c r="M8" s="62">
        <f t="shared" si="8"/>
        <v>2813.4</v>
      </c>
      <c r="N8" s="62">
        <f t="shared" si="6"/>
        <v>2922</v>
      </c>
      <c r="O8" s="62">
        <f t="shared" si="6"/>
        <v>3036</v>
      </c>
      <c r="P8" s="72">
        <f t="shared" si="9"/>
        <v>8771.4</v>
      </c>
    </row>
    <row r="9" spans="1:16" ht="25.5" x14ac:dyDescent="0.25">
      <c r="A9" s="412"/>
      <c r="B9" s="414"/>
      <c r="C9" s="415"/>
      <c r="D9" s="16" t="s">
        <v>197</v>
      </c>
      <c r="E9" s="413"/>
      <c r="F9" s="34">
        <f t="shared" si="7"/>
        <v>0.87920000000000009</v>
      </c>
      <c r="G9" s="34">
        <f t="shared" si="5"/>
        <v>0.91400000000000003</v>
      </c>
      <c r="H9" s="34">
        <f t="shared" si="5"/>
        <v>0.95</v>
      </c>
      <c r="I9" s="25">
        <f t="shared" si="2"/>
        <v>2.7431999999999999</v>
      </c>
      <c r="J9" s="413"/>
      <c r="K9" s="422"/>
      <c r="M9" s="62">
        <f t="shared" si="8"/>
        <v>879.2</v>
      </c>
      <c r="N9" s="62">
        <f t="shared" si="6"/>
        <v>914</v>
      </c>
      <c r="O9" s="62">
        <f t="shared" si="6"/>
        <v>950</v>
      </c>
      <c r="P9" s="72">
        <f t="shared" si="9"/>
        <v>2743.2</v>
      </c>
    </row>
    <row r="10" spans="1:16" ht="25.5" customHeight="1" x14ac:dyDescent="0.25">
      <c r="A10" s="412"/>
      <c r="B10" s="414"/>
      <c r="C10" s="415"/>
      <c r="D10" s="78" t="s">
        <v>186</v>
      </c>
      <c r="E10" s="413"/>
      <c r="F10" s="34">
        <f t="shared" si="7"/>
        <v>8.0007999999999999</v>
      </c>
      <c r="G10" s="34">
        <f t="shared" si="5"/>
        <v>8.3125999999999998</v>
      </c>
      <c r="H10" s="34">
        <f t="shared" si="5"/>
        <v>8.6370000000000005</v>
      </c>
      <c r="I10" s="25">
        <f t="shared" si="2"/>
        <v>24.950400000000002</v>
      </c>
      <c r="J10" s="413"/>
      <c r="K10" s="422"/>
      <c r="M10" s="62">
        <f t="shared" si="8"/>
        <v>8000.8</v>
      </c>
      <c r="N10" s="62">
        <f t="shared" si="6"/>
        <v>8312.6</v>
      </c>
      <c r="O10" s="62">
        <f t="shared" si="6"/>
        <v>8637</v>
      </c>
      <c r="P10" s="72">
        <f t="shared" si="9"/>
        <v>24950.400000000001</v>
      </c>
    </row>
    <row r="11" spans="1:16" ht="25.5" x14ac:dyDescent="0.25">
      <c r="A11" s="412"/>
      <c r="B11" s="414"/>
      <c r="C11" s="415"/>
      <c r="D11" s="16" t="s">
        <v>185</v>
      </c>
      <c r="E11" s="413"/>
      <c r="F11" s="34">
        <f t="shared" si="7"/>
        <v>1.1434000000000002</v>
      </c>
      <c r="G11" s="34">
        <f t="shared" si="5"/>
        <v>1.19</v>
      </c>
      <c r="H11" s="34">
        <f t="shared" si="5"/>
        <v>1.2350000000000001</v>
      </c>
      <c r="I11" s="25">
        <f t="shared" si="2"/>
        <v>3.5684000000000005</v>
      </c>
      <c r="J11" s="413"/>
      <c r="K11" s="422"/>
      <c r="M11" s="62">
        <f t="shared" si="8"/>
        <v>1143.4000000000001</v>
      </c>
      <c r="N11" s="62">
        <f t="shared" si="6"/>
        <v>1190</v>
      </c>
      <c r="O11" s="62">
        <f t="shared" si="6"/>
        <v>1235</v>
      </c>
      <c r="P11" s="72">
        <f t="shared" si="9"/>
        <v>3568.4</v>
      </c>
    </row>
    <row r="12" spans="1:16" x14ac:dyDescent="0.25">
      <c r="A12" s="412"/>
      <c r="B12" s="414"/>
      <c r="C12" s="415"/>
      <c r="D12" s="16" t="s">
        <v>195</v>
      </c>
      <c r="E12" s="413"/>
      <c r="F12" s="34">
        <f t="shared" si="7"/>
        <v>8.6977999999999991</v>
      </c>
      <c r="G12" s="34">
        <f t="shared" si="5"/>
        <v>9.0359999999999996</v>
      </c>
      <c r="H12" s="34">
        <f t="shared" si="5"/>
        <v>9.3880999999999979</v>
      </c>
      <c r="I12" s="25">
        <f t="shared" si="2"/>
        <v>27.121899999999997</v>
      </c>
      <c r="J12" s="413"/>
      <c r="K12" s="422"/>
      <c r="M12" s="62">
        <f t="shared" si="8"/>
        <v>8697.7999999999993</v>
      </c>
      <c r="N12" s="62">
        <f t="shared" si="6"/>
        <v>9036</v>
      </c>
      <c r="O12" s="62">
        <f t="shared" si="6"/>
        <v>9388.0999999999985</v>
      </c>
      <c r="P12" s="72">
        <f t="shared" si="9"/>
        <v>27121.899999999998</v>
      </c>
    </row>
    <row r="13" spans="1:16" ht="15.75" customHeight="1" x14ac:dyDescent="0.25">
      <c r="A13" s="412"/>
      <c r="B13" s="414">
        <v>2</v>
      </c>
      <c r="C13" s="415" t="str">
        <f>'пр к ПП1'!B17</f>
        <v>Расходы на капитальный ремонт и ремонт автомобильных дорог общего пользования местного значения (дорожный фонд)</v>
      </c>
      <c r="D13" s="22" t="s">
        <v>189</v>
      </c>
      <c r="E13" s="413" t="s">
        <v>182</v>
      </c>
      <c r="F13" s="34">
        <f>SUM(F14:F20)</f>
        <v>11.636100000000001</v>
      </c>
      <c r="G13" s="34">
        <f t="shared" ref="G13:H13" si="10">SUM(G14:G20)</f>
        <v>13.9947</v>
      </c>
      <c r="H13" s="34">
        <f t="shared" si="10"/>
        <v>13.9947</v>
      </c>
      <c r="I13" s="25">
        <f t="shared" si="2"/>
        <v>39.625500000000002</v>
      </c>
      <c r="J13" s="418" t="s">
        <v>190</v>
      </c>
      <c r="K13" s="422"/>
      <c r="M13" s="74">
        <f>SUM(M14:M20)</f>
        <v>11636.1</v>
      </c>
      <c r="N13" s="74">
        <f t="shared" ref="N13:O13" si="11">SUM(N14:N20)</f>
        <v>13994.7</v>
      </c>
      <c r="O13" s="74">
        <f t="shared" si="11"/>
        <v>13994.7</v>
      </c>
      <c r="P13" s="72">
        <f t="shared" si="9"/>
        <v>39625.5</v>
      </c>
    </row>
    <row r="14" spans="1:16" ht="25.5" x14ac:dyDescent="0.25">
      <c r="A14" s="412"/>
      <c r="B14" s="414"/>
      <c r="C14" s="415"/>
      <c r="D14" s="16" t="s">
        <v>187</v>
      </c>
      <c r="E14" s="413"/>
      <c r="F14" s="34">
        <f t="shared" ref="F14:F20" si="12">M14/1000</f>
        <v>1.3959999999999999</v>
      </c>
      <c r="G14" s="34">
        <f t="shared" ref="G14:G20" si="13">N14/1000</f>
        <v>1.747684</v>
      </c>
      <c r="H14" s="34">
        <f t="shared" ref="H14:H20" si="14">O14/1000</f>
        <v>1.747684</v>
      </c>
      <c r="I14" s="25">
        <f t="shared" si="2"/>
        <v>4.8913679999999999</v>
      </c>
      <c r="J14" s="423"/>
      <c r="K14" s="422"/>
      <c r="M14" s="62">
        <f>F46</f>
        <v>1396</v>
      </c>
      <c r="N14" s="62">
        <f t="shared" ref="N14:O20" si="15">G46</f>
        <v>1747.684</v>
      </c>
      <c r="O14" s="62">
        <f t="shared" si="15"/>
        <v>1747.684</v>
      </c>
      <c r="P14" s="72">
        <f t="shared" si="9"/>
        <v>4891.3680000000004</v>
      </c>
    </row>
    <row r="15" spans="1:16" ht="25.5" x14ac:dyDescent="0.25">
      <c r="A15" s="412"/>
      <c r="B15" s="414"/>
      <c r="C15" s="415"/>
      <c r="D15" s="16" t="s">
        <v>196</v>
      </c>
      <c r="E15" s="413"/>
      <c r="F15" s="34">
        <f t="shared" si="12"/>
        <v>0.69799999999999995</v>
      </c>
      <c r="G15" s="34">
        <f t="shared" si="13"/>
        <v>0.87384400000000007</v>
      </c>
      <c r="H15" s="34">
        <f t="shared" si="14"/>
        <v>0.87384400000000007</v>
      </c>
      <c r="I15" s="25">
        <f t="shared" si="2"/>
        <v>2.4456880000000001</v>
      </c>
      <c r="J15" s="423"/>
      <c r="K15" s="422"/>
      <c r="M15" s="62">
        <f t="shared" ref="M15:M20" si="16">F47</f>
        <v>698</v>
      </c>
      <c r="N15" s="62">
        <f t="shared" si="15"/>
        <v>873.84400000000005</v>
      </c>
      <c r="O15" s="62">
        <f t="shared" si="15"/>
        <v>873.84400000000005</v>
      </c>
      <c r="P15" s="72">
        <f t="shared" si="9"/>
        <v>2445.6880000000001</v>
      </c>
    </row>
    <row r="16" spans="1:16" ht="25.5" x14ac:dyDescent="0.25">
      <c r="A16" s="412"/>
      <c r="B16" s="414"/>
      <c r="C16" s="415"/>
      <c r="D16" s="16" t="s">
        <v>188</v>
      </c>
      <c r="E16" s="413"/>
      <c r="F16" s="34">
        <f t="shared" si="12"/>
        <v>0.69799999999999995</v>
      </c>
      <c r="G16" s="34">
        <f t="shared" si="13"/>
        <v>0.87384400000000007</v>
      </c>
      <c r="H16" s="34">
        <f t="shared" si="14"/>
        <v>0.87384400000000007</v>
      </c>
      <c r="I16" s="25">
        <f t="shared" si="2"/>
        <v>2.4456880000000001</v>
      </c>
      <c r="J16" s="423"/>
      <c r="K16" s="422"/>
      <c r="M16" s="62">
        <f t="shared" si="16"/>
        <v>698</v>
      </c>
      <c r="N16" s="62">
        <f t="shared" si="15"/>
        <v>873.84400000000005</v>
      </c>
      <c r="O16" s="62">
        <f t="shared" si="15"/>
        <v>873.84400000000005</v>
      </c>
      <c r="P16" s="72">
        <f t="shared" si="9"/>
        <v>2445.6880000000001</v>
      </c>
    </row>
    <row r="17" spans="1:18" ht="25.5" x14ac:dyDescent="0.25">
      <c r="A17" s="412"/>
      <c r="B17" s="414"/>
      <c r="C17" s="415"/>
      <c r="D17" s="16" t="s">
        <v>197</v>
      </c>
      <c r="E17" s="413"/>
      <c r="F17" s="34">
        <f t="shared" si="12"/>
        <v>0.69799999999999995</v>
      </c>
      <c r="G17" s="34">
        <f t="shared" si="13"/>
        <v>0.87384400000000007</v>
      </c>
      <c r="H17" s="34">
        <f t="shared" si="14"/>
        <v>0.87384400000000007</v>
      </c>
      <c r="I17" s="25">
        <f t="shared" si="2"/>
        <v>2.4456880000000001</v>
      </c>
      <c r="J17" s="423"/>
      <c r="K17" s="422"/>
      <c r="M17" s="62">
        <f t="shared" si="16"/>
        <v>698</v>
      </c>
      <c r="N17" s="62">
        <f t="shared" si="15"/>
        <v>873.84400000000005</v>
      </c>
      <c r="O17" s="62">
        <f t="shared" si="15"/>
        <v>873.84400000000005</v>
      </c>
      <c r="P17" s="72">
        <f t="shared" si="9"/>
        <v>2445.6880000000001</v>
      </c>
    </row>
    <row r="18" spans="1:18" ht="25.5" customHeight="1" x14ac:dyDescent="0.25">
      <c r="A18" s="412"/>
      <c r="B18" s="414"/>
      <c r="C18" s="415"/>
      <c r="D18" s="103" t="s">
        <v>186</v>
      </c>
      <c r="E18" s="413"/>
      <c r="F18" s="34">
        <f t="shared" si="12"/>
        <v>5.1211000000000002</v>
      </c>
      <c r="G18" s="34">
        <f t="shared" si="13"/>
        <v>6.0293370000000008</v>
      </c>
      <c r="H18" s="34">
        <f t="shared" si="14"/>
        <v>6.0293370000000008</v>
      </c>
      <c r="I18" s="25">
        <f t="shared" si="2"/>
        <v>17.179774000000002</v>
      </c>
      <c r="J18" s="423"/>
      <c r="K18" s="422"/>
      <c r="M18" s="62">
        <f t="shared" si="16"/>
        <v>5121.1000000000004</v>
      </c>
      <c r="N18" s="62">
        <f t="shared" si="15"/>
        <v>6029.3370000000004</v>
      </c>
      <c r="O18" s="62">
        <f t="shared" si="15"/>
        <v>6029.3370000000004</v>
      </c>
      <c r="P18" s="72">
        <f t="shared" si="9"/>
        <v>17179.774000000001</v>
      </c>
    </row>
    <row r="19" spans="1:18" ht="25.5" x14ac:dyDescent="0.25">
      <c r="A19" s="412"/>
      <c r="B19" s="414"/>
      <c r="C19" s="415"/>
      <c r="D19" s="16" t="s">
        <v>185</v>
      </c>
      <c r="E19" s="413"/>
      <c r="F19" s="34">
        <f t="shared" si="12"/>
        <v>0</v>
      </c>
      <c r="G19" s="34">
        <f t="shared" si="13"/>
        <v>0</v>
      </c>
      <c r="H19" s="34">
        <f t="shared" si="14"/>
        <v>0</v>
      </c>
      <c r="I19" s="25">
        <f t="shared" si="2"/>
        <v>0</v>
      </c>
      <c r="J19" s="423"/>
      <c r="K19" s="422"/>
      <c r="M19" s="62">
        <f t="shared" si="16"/>
        <v>0</v>
      </c>
      <c r="N19" s="62">
        <f t="shared" si="15"/>
        <v>0</v>
      </c>
      <c r="O19" s="62">
        <f t="shared" si="15"/>
        <v>0</v>
      </c>
      <c r="P19" s="72">
        <f t="shared" si="9"/>
        <v>0</v>
      </c>
    </row>
    <row r="20" spans="1:18" ht="25.5" customHeight="1" x14ac:dyDescent="0.25">
      <c r="A20" s="412"/>
      <c r="B20" s="414"/>
      <c r="C20" s="415"/>
      <c r="D20" s="16" t="s">
        <v>195</v>
      </c>
      <c r="E20" s="413"/>
      <c r="F20" s="34">
        <f t="shared" si="12"/>
        <v>3.0249999999999999</v>
      </c>
      <c r="G20" s="34">
        <f t="shared" si="13"/>
        <v>3.5961469999999998</v>
      </c>
      <c r="H20" s="34">
        <f t="shared" si="14"/>
        <v>3.5961469999999998</v>
      </c>
      <c r="I20" s="25">
        <f t="shared" si="2"/>
        <v>10.217293999999999</v>
      </c>
      <c r="J20" s="419"/>
      <c r="K20" s="422"/>
      <c r="M20" s="62">
        <f t="shared" si="16"/>
        <v>3025</v>
      </c>
      <c r="N20" s="62">
        <f t="shared" si="15"/>
        <v>3596.1469999999999</v>
      </c>
      <c r="O20" s="62">
        <f t="shared" si="15"/>
        <v>3596.1469999999999</v>
      </c>
      <c r="P20" s="72">
        <f t="shared" si="9"/>
        <v>10217.294</v>
      </c>
    </row>
    <row r="21" spans="1:18" ht="93" customHeight="1" x14ac:dyDescent="0.25">
      <c r="A21" s="412"/>
      <c r="B21" s="76">
        <v>3</v>
      </c>
      <c r="C21" s="42" t="str">
        <f>'пр к ПП1'!B19</f>
        <v>Расходы на содержание дороги Туруханск - Селиваниха и дорог межселенной территории (дорожный фонд)</v>
      </c>
      <c r="D21" s="22" t="s">
        <v>191</v>
      </c>
      <c r="E21" s="38" t="s">
        <v>182</v>
      </c>
      <c r="F21" s="26">
        <f>('пр к ПП1'!I20+'пр к ПП1'!I19)/1000</f>
        <v>6.65083</v>
      </c>
      <c r="G21" s="26">
        <f>('пр к ПП1'!J20+'пр к ПП1'!J19)/1000</f>
        <v>6.65083</v>
      </c>
      <c r="H21" s="26">
        <f>('пр к ПП1'!K20+'пр к ПП1'!K19)/1000</f>
        <v>6.65083</v>
      </c>
      <c r="I21" s="25">
        <f>SUM(F21:H21)</f>
        <v>19.952490000000001</v>
      </c>
      <c r="J21" s="75" t="s">
        <v>183</v>
      </c>
      <c r="K21" s="422"/>
    </row>
    <row r="22" spans="1:18" ht="109.5" customHeight="1" x14ac:dyDescent="0.25">
      <c r="A22" s="412"/>
      <c r="B22" s="76">
        <v>4</v>
      </c>
      <c r="C22" s="42" t="str">
        <f>'пр к ПП1'!B22:B23</f>
        <v>Устройство и содержание ледовой переправы для передвижения с островной на материковую часть г. Игарка (дорожный фонд)</v>
      </c>
      <c r="D22" s="22" t="s">
        <v>192</v>
      </c>
      <c r="E22" s="38" t="s">
        <v>193</v>
      </c>
      <c r="F22" s="25">
        <f>'пр к ПП1'!I22/1000</f>
        <v>2.6387550000000002</v>
      </c>
      <c r="G22" s="25">
        <f>'пр к ПП1'!J22/1000</f>
        <v>2.6387550000000002</v>
      </c>
      <c r="H22" s="25">
        <f>'пр к ПП1'!K22/1000</f>
        <v>2.6387550000000002</v>
      </c>
      <c r="I22" s="25">
        <f>'пр к ПП1'!L22/1000</f>
        <v>7.9162650000000001</v>
      </c>
      <c r="J22" s="75" t="s">
        <v>183</v>
      </c>
      <c r="K22" s="422"/>
    </row>
    <row r="23" spans="1:18" ht="109.5" customHeight="1" x14ac:dyDescent="0.25">
      <c r="A23" s="412"/>
      <c r="B23" s="416">
        <v>5</v>
      </c>
      <c r="C23" s="416" t="str">
        <f>'пр к ПП1'!B24</f>
        <v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v>
      </c>
      <c r="D23" s="418" t="s">
        <v>191</v>
      </c>
      <c r="E23" s="420" t="s">
        <v>182</v>
      </c>
      <c r="F23" s="72" t="e">
        <f>'пр к ПП1'!I24/1000</f>
        <v>#VALUE!</v>
      </c>
      <c r="G23" s="72">
        <f>'пр к ПП1'!J24/1000</f>
        <v>0</v>
      </c>
      <c r="H23" s="72">
        <f>'пр к ПП1'!K24/1000</f>
        <v>0</v>
      </c>
      <c r="I23" s="72">
        <f>'пр к ПП1'!L24/1000</f>
        <v>0</v>
      </c>
      <c r="J23" s="104" t="s">
        <v>190</v>
      </c>
      <c r="K23" s="77"/>
    </row>
    <row r="24" spans="1:18" ht="109.5" customHeight="1" x14ac:dyDescent="0.25">
      <c r="A24" s="412"/>
      <c r="B24" s="417"/>
      <c r="C24" s="417"/>
      <c r="D24" s="419"/>
      <c r="E24" s="421"/>
      <c r="F24" s="72" t="e">
        <f>'пр к ПП1'!I25/1000</f>
        <v>#VALUE!</v>
      </c>
      <c r="G24" s="72">
        <f>'пр к ПП1'!J25/1000</f>
        <v>0</v>
      </c>
      <c r="H24" s="72">
        <f>'пр к ПП1'!K25/1000</f>
        <v>0</v>
      </c>
      <c r="I24" s="72">
        <f>'пр к ПП1'!L25/1000</f>
        <v>0</v>
      </c>
      <c r="J24" s="75" t="s">
        <v>183</v>
      </c>
      <c r="K24" s="105"/>
    </row>
    <row r="25" spans="1:18" ht="109.5" customHeight="1" x14ac:dyDescent="0.25">
      <c r="A25" s="412"/>
      <c r="B25" s="97">
        <v>6</v>
      </c>
      <c r="C25" s="42" t="str">
        <f>'пр к ПП1'!B29</f>
        <v>Обустройство и содержание зимней автодороги Игарка - Светлогосрк - Туруханск</v>
      </c>
      <c r="D25" s="22" t="s">
        <v>191</v>
      </c>
      <c r="E25" s="38" t="s">
        <v>182</v>
      </c>
      <c r="F25" s="25">
        <f>'пр к ПП1'!I29/1000</f>
        <v>32.35</v>
      </c>
      <c r="G25" s="25">
        <f>'пр к ПП1'!J29/1000</f>
        <v>32.35</v>
      </c>
      <c r="H25" s="25">
        <f>'пр к ПП1'!K29/1000</f>
        <v>32.35</v>
      </c>
      <c r="I25" s="25">
        <f>'пр к ПП1'!L29/1000</f>
        <v>97.05</v>
      </c>
      <c r="J25" s="96" t="s">
        <v>183</v>
      </c>
      <c r="K25" s="98"/>
    </row>
    <row r="26" spans="1:18" x14ac:dyDescent="0.25">
      <c r="A26" s="412"/>
      <c r="B26" s="23"/>
      <c r="C26" s="48" t="s">
        <v>216</v>
      </c>
      <c r="D26" s="23" t="s">
        <v>30</v>
      </c>
      <c r="E26" s="23" t="s">
        <v>30</v>
      </c>
      <c r="F26" s="27" t="e">
        <f>F5+F13+F21+F22+F23+F24+F25</f>
        <v>#VALUE!</v>
      </c>
      <c r="G26" s="27">
        <f>G5+G13+G21+G22+G23+G24+G25</f>
        <v>83.032885000000007</v>
      </c>
      <c r="H26" s="27">
        <f t="shared" ref="H26:I26" si="17">H5+H13+H21+H22+H23+H24+H25</f>
        <v>84.101384999999993</v>
      </c>
      <c r="I26" s="27">
        <f t="shared" si="17"/>
        <v>246.78015500000004</v>
      </c>
      <c r="J26" s="23" t="s">
        <v>30</v>
      </c>
      <c r="K26" s="39"/>
    </row>
    <row r="28" spans="1:18" s="29" customFormat="1" x14ac:dyDescent="0.25">
      <c r="B28" s="28"/>
      <c r="F28" s="30">
        <f>SUM(F6:F12,F14:F20)</f>
        <v>38.006300000000003</v>
      </c>
      <c r="G28" s="30">
        <f>SUM(G6:G12,G14:G20)</f>
        <v>41.393299999999996</v>
      </c>
      <c r="H28" s="30">
        <f>SUM(H6:H12,H14:H20)</f>
        <v>42.461799999999997</v>
      </c>
      <c r="I28" s="30">
        <f>SUM(I6:I12,I14:I20)</f>
        <v>121.86140000000002</v>
      </c>
      <c r="L28"/>
      <c r="M28"/>
      <c r="N28"/>
      <c r="O28"/>
      <c r="P28"/>
      <c r="Q28"/>
      <c r="R28"/>
    </row>
    <row r="29" spans="1:18" s="29" customFormat="1" x14ac:dyDescent="0.25">
      <c r="B29" s="28"/>
      <c r="F29" s="31">
        <f>('пр к ПП1'!I17+'пр к ПП1'!I15)/1000</f>
        <v>50.265000000000001</v>
      </c>
      <c r="G29" s="31">
        <f>('пр к ПП1'!J17+'пр к ПП1'!J15)/1000</f>
        <v>44.765000000000001</v>
      </c>
      <c r="H29" s="31">
        <f>('пр к ПП1'!K17+'пр к ПП1'!K15)/1000</f>
        <v>44.765000000000001</v>
      </c>
      <c r="I29" s="31">
        <f>('пр к ПП1'!L17+'пр к ПП1'!L15)/1000</f>
        <v>139.79499999999999</v>
      </c>
      <c r="L29"/>
      <c r="M29"/>
      <c r="N29"/>
      <c r="O29"/>
      <c r="P29"/>
      <c r="Q29"/>
      <c r="R29"/>
    </row>
    <row r="30" spans="1:18" s="29" customFormat="1" x14ac:dyDescent="0.25">
      <c r="B30" s="28"/>
      <c r="F30" s="31" t="b">
        <f>F28=F29</f>
        <v>0</v>
      </c>
      <c r="G30" s="31" t="b">
        <f t="shared" ref="G30:I30" si="18">G28=G29</f>
        <v>0</v>
      </c>
      <c r="H30" s="31" t="b">
        <f t="shared" si="18"/>
        <v>0</v>
      </c>
      <c r="I30" s="31" t="b">
        <f t="shared" si="18"/>
        <v>0</v>
      </c>
      <c r="L30"/>
      <c r="M30"/>
      <c r="N30"/>
      <c r="O30"/>
      <c r="P30"/>
      <c r="Q30"/>
      <c r="R30"/>
    </row>
    <row r="34" spans="2:8" s="107" customFormat="1" x14ac:dyDescent="0.25">
      <c r="B34" s="108"/>
      <c r="D34" s="109" t="s">
        <v>237</v>
      </c>
      <c r="F34" s="110" t="str">
        <f>F4</f>
        <v>2023</v>
      </c>
      <c r="G34" s="110" t="str">
        <f t="shared" ref="G34:H34" si="19">G4</f>
        <v>2024</v>
      </c>
      <c r="H34" s="110" t="str">
        <f t="shared" si="19"/>
        <v>2025</v>
      </c>
    </row>
    <row r="35" spans="2:8" s="107" customFormat="1" x14ac:dyDescent="0.25">
      <c r="B35" s="108"/>
      <c r="D35" s="111" t="s">
        <v>268</v>
      </c>
      <c r="F35" s="112">
        <v>3956.4</v>
      </c>
      <c r="G35" s="113">
        <v>4110</v>
      </c>
      <c r="H35" s="113">
        <v>4271</v>
      </c>
    </row>
    <row r="36" spans="2:8" s="107" customFormat="1" x14ac:dyDescent="0.25">
      <c r="B36" s="108"/>
      <c r="D36" s="111" t="s">
        <v>269</v>
      </c>
      <c r="F36" s="112">
        <v>879.2</v>
      </c>
      <c r="G36" s="113">
        <v>914</v>
      </c>
      <c r="H36" s="113">
        <v>950</v>
      </c>
    </row>
    <row r="37" spans="2:8" s="107" customFormat="1" x14ac:dyDescent="0.25">
      <c r="B37" s="108"/>
      <c r="D37" s="111" t="s">
        <v>270</v>
      </c>
      <c r="F37" s="112">
        <v>2813.4</v>
      </c>
      <c r="G37" s="113">
        <v>2922</v>
      </c>
      <c r="H37" s="113">
        <v>3036</v>
      </c>
    </row>
    <row r="38" spans="2:8" s="107" customFormat="1" x14ac:dyDescent="0.25">
      <c r="B38" s="108"/>
      <c r="D38" s="111" t="s">
        <v>271</v>
      </c>
      <c r="F38" s="112">
        <v>879.2</v>
      </c>
      <c r="G38" s="113">
        <v>914</v>
      </c>
      <c r="H38" s="113">
        <v>950</v>
      </c>
    </row>
    <row r="39" spans="2:8" s="107" customFormat="1" x14ac:dyDescent="0.25">
      <c r="B39" s="108"/>
      <c r="D39" s="111" t="s">
        <v>272</v>
      </c>
      <c r="F39" s="112">
        <v>8000.8</v>
      </c>
      <c r="G39" s="113">
        <v>8312.6</v>
      </c>
      <c r="H39" s="113">
        <v>8637</v>
      </c>
    </row>
    <row r="40" spans="2:8" s="107" customFormat="1" x14ac:dyDescent="0.25">
      <c r="B40" s="108"/>
      <c r="D40" s="111" t="s">
        <v>273</v>
      </c>
      <c r="F40" s="112">
        <v>1143.4000000000001</v>
      </c>
      <c r="G40" s="113">
        <v>1190</v>
      </c>
      <c r="H40" s="113">
        <v>1235</v>
      </c>
    </row>
    <row r="41" spans="2:8" s="107" customFormat="1" x14ac:dyDescent="0.25">
      <c r="B41" s="108"/>
      <c r="D41" s="111" t="s">
        <v>274</v>
      </c>
      <c r="F41" s="112">
        <v>8697.7999999999993</v>
      </c>
      <c r="G41" s="113">
        <v>9036</v>
      </c>
      <c r="H41" s="113">
        <v>9388.0999999999985</v>
      </c>
    </row>
    <row r="42" spans="2:8" s="107" customFormat="1" x14ac:dyDescent="0.25">
      <c r="B42" s="108"/>
      <c r="F42" s="114">
        <f>SUM(F35:F41)</f>
        <v>26370.2</v>
      </c>
      <c r="G42" s="114">
        <f t="shared" ref="G42:H42" si="20">SUM(G35:G41)</f>
        <v>27398.6</v>
      </c>
      <c r="H42" s="114">
        <f t="shared" si="20"/>
        <v>28467.1</v>
      </c>
    </row>
    <row r="43" spans="2:8" s="107" customFormat="1" x14ac:dyDescent="0.25">
      <c r="B43" s="108"/>
    </row>
    <row r="44" spans="2:8" s="107" customFormat="1" x14ac:dyDescent="0.25">
      <c r="B44" s="108"/>
    </row>
    <row r="45" spans="2:8" s="107" customFormat="1" x14ac:dyDescent="0.25">
      <c r="B45" s="108"/>
      <c r="D45" s="109" t="s">
        <v>236</v>
      </c>
      <c r="F45" s="110" t="str">
        <f>F34</f>
        <v>2023</v>
      </c>
      <c r="G45" s="110" t="str">
        <f t="shared" ref="G45:H45" si="21">G34</f>
        <v>2024</v>
      </c>
      <c r="H45" s="110" t="str">
        <f t="shared" si="21"/>
        <v>2025</v>
      </c>
    </row>
    <row r="46" spans="2:8" s="107" customFormat="1" x14ac:dyDescent="0.25">
      <c r="B46" s="108"/>
      <c r="D46" s="111" t="s">
        <v>268</v>
      </c>
      <c r="F46" s="112">
        <v>1396</v>
      </c>
      <c r="G46" s="113">
        <v>1747.684</v>
      </c>
      <c r="H46" s="113">
        <v>1747.684</v>
      </c>
    </row>
    <row r="47" spans="2:8" s="107" customFormat="1" x14ac:dyDescent="0.25">
      <c r="B47" s="108"/>
      <c r="D47" s="111" t="s">
        <v>269</v>
      </c>
      <c r="F47" s="112">
        <v>698</v>
      </c>
      <c r="G47" s="113">
        <v>873.84400000000005</v>
      </c>
      <c r="H47" s="113">
        <v>873.84400000000005</v>
      </c>
    </row>
    <row r="48" spans="2:8" s="107" customFormat="1" x14ac:dyDescent="0.25">
      <c r="B48" s="108"/>
      <c r="D48" s="111" t="s">
        <v>270</v>
      </c>
      <c r="F48" s="112">
        <v>698</v>
      </c>
      <c r="G48" s="113">
        <v>873.84400000000005</v>
      </c>
      <c r="H48" s="113">
        <v>873.84400000000005</v>
      </c>
    </row>
    <row r="49" spans="2:8" s="107" customFormat="1" x14ac:dyDescent="0.25">
      <c r="B49" s="108"/>
      <c r="D49" s="111" t="s">
        <v>271</v>
      </c>
      <c r="F49" s="112">
        <v>698</v>
      </c>
      <c r="G49" s="113">
        <v>873.84400000000005</v>
      </c>
      <c r="H49" s="113">
        <v>873.84400000000005</v>
      </c>
    </row>
    <row r="50" spans="2:8" s="107" customFormat="1" x14ac:dyDescent="0.25">
      <c r="B50" s="108"/>
      <c r="D50" s="111" t="s">
        <v>272</v>
      </c>
      <c r="F50" s="112">
        <v>5121.1000000000004</v>
      </c>
      <c r="G50" s="113">
        <v>6029.3370000000004</v>
      </c>
      <c r="H50" s="113">
        <v>6029.3370000000004</v>
      </c>
    </row>
    <row r="51" spans="2:8" s="107" customFormat="1" x14ac:dyDescent="0.25">
      <c r="B51" s="108"/>
      <c r="D51" s="111" t="s">
        <v>273</v>
      </c>
      <c r="F51" s="112"/>
      <c r="G51" s="113"/>
      <c r="H51" s="113"/>
    </row>
    <row r="52" spans="2:8" s="107" customFormat="1" x14ac:dyDescent="0.25">
      <c r="B52" s="108"/>
      <c r="D52" s="111" t="s">
        <v>274</v>
      </c>
      <c r="F52" s="112">
        <v>3025</v>
      </c>
      <c r="G52" s="113">
        <v>3596.1469999999999</v>
      </c>
      <c r="H52" s="113">
        <v>3596.1469999999999</v>
      </c>
    </row>
    <row r="53" spans="2:8" x14ac:dyDescent="0.25">
      <c r="F53" s="114">
        <f>SUM(F46:F52)</f>
        <v>11636.1</v>
      </c>
      <c r="G53" s="114">
        <f t="shared" ref="G53" si="22">SUM(G46:G52)</f>
        <v>13994.7</v>
      </c>
      <c r="H53" s="114">
        <f t="shared" ref="H53" si="23">SUM(H46:H52)</f>
        <v>13994.7</v>
      </c>
    </row>
  </sheetData>
  <mergeCells count="27">
    <mergeCell ref="F1:J1"/>
    <mergeCell ref="F2:I2"/>
    <mergeCell ref="M1:P1"/>
    <mergeCell ref="M2:P2"/>
    <mergeCell ref="M3:O3"/>
    <mergeCell ref="P3:P4"/>
    <mergeCell ref="J2:J4"/>
    <mergeCell ref="F3:H3"/>
    <mergeCell ref="I3:I4"/>
    <mergeCell ref="K1:K22"/>
    <mergeCell ref="J5:J12"/>
    <mergeCell ref="J13:J20"/>
    <mergeCell ref="A1:A26"/>
    <mergeCell ref="B1:B4"/>
    <mergeCell ref="C1:C4"/>
    <mergeCell ref="D1:D4"/>
    <mergeCell ref="E1:E4"/>
    <mergeCell ref="B5:B12"/>
    <mergeCell ref="C5:C12"/>
    <mergeCell ref="E5:E12"/>
    <mergeCell ref="B13:B20"/>
    <mergeCell ref="C13:C20"/>
    <mergeCell ref="E13:E20"/>
    <mergeCell ref="B23:B24"/>
    <mergeCell ref="C23:C24"/>
    <mergeCell ref="D23:D24"/>
    <mergeCell ref="E23:E24"/>
  </mergeCells>
  <pageMargins left="0.70866141732283472" right="0.70866141732283472" top="0.74803149606299213" bottom="0.74803149606299213" header="0.31496062992125984" footer="0.31496062992125984"/>
  <pageSetup paperSize="9" scale="60" fitToHeight="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C1" zoomScale="85" zoomScaleNormal="85" workbookViewId="0">
      <selection activeCell="L7" sqref="L7"/>
    </sheetView>
  </sheetViews>
  <sheetFormatPr defaultRowHeight="15.75" outlineLevelRow="1" x14ac:dyDescent="0.25"/>
  <cols>
    <col min="1" max="1" width="3.75" customWidth="1"/>
    <col min="2" max="2" width="21.125" customWidth="1"/>
    <col min="3" max="3" width="37.5" customWidth="1"/>
    <col min="4" max="4" width="14.125" customWidth="1"/>
    <col min="5" max="5" width="11.375" customWidth="1"/>
    <col min="6" max="7" width="8.125" customWidth="1"/>
    <col min="8" max="8" width="7.875" customWidth="1"/>
    <col min="10" max="10" width="16.25" bestFit="1" customWidth="1"/>
  </cols>
  <sheetData>
    <row r="1" spans="1:10" x14ac:dyDescent="0.25">
      <c r="A1" s="413" t="s">
        <v>19</v>
      </c>
      <c r="B1" s="413" t="s">
        <v>173</v>
      </c>
      <c r="C1" s="413" t="s">
        <v>174</v>
      </c>
      <c r="D1" s="413" t="s">
        <v>175</v>
      </c>
      <c r="E1" s="413" t="s">
        <v>176</v>
      </c>
      <c r="F1" s="413"/>
      <c r="G1" s="413"/>
      <c r="H1" s="413"/>
      <c r="I1" s="413"/>
    </row>
    <row r="2" spans="1:10" x14ac:dyDescent="0.25">
      <c r="A2" s="413"/>
      <c r="B2" s="413"/>
      <c r="C2" s="413"/>
      <c r="D2" s="413"/>
      <c r="E2" s="413" t="s">
        <v>177</v>
      </c>
      <c r="F2" s="413"/>
      <c r="G2" s="413"/>
      <c r="H2" s="413"/>
      <c r="I2" s="413" t="s">
        <v>178</v>
      </c>
    </row>
    <row r="3" spans="1:10" x14ac:dyDescent="0.25">
      <c r="A3" s="413"/>
      <c r="B3" s="413"/>
      <c r="C3" s="413"/>
      <c r="D3" s="413"/>
      <c r="E3" s="413" t="s">
        <v>179</v>
      </c>
      <c r="F3" s="413"/>
      <c r="G3" s="413"/>
      <c r="H3" s="413" t="s">
        <v>180</v>
      </c>
      <c r="I3" s="413"/>
    </row>
    <row r="4" spans="1:10" x14ac:dyDescent="0.25">
      <c r="A4" s="413"/>
      <c r="B4" s="413"/>
      <c r="C4" s="413"/>
      <c r="D4" s="413"/>
      <c r="E4" s="63">
        <v>2018</v>
      </c>
      <c r="F4" s="63">
        <v>2019</v>
      </c>
      <c r="G4" s="63">
        <v>2020</v>
      </c>
      <c r="H4" s="413"/>
      <c r="I4" s="413"/>
    </row>
    <row r="5" spans="1:10" ht="92.25" customHeight="1" x14ac:dyDescent="0.25">
      <c r="A5" s="15">
        <v>1</v>
      </c>
      <c r="B5" s="16" t="s">
        <v>104</v>
      </c>
      <c r="C5" s="425" t="s">
        <v>181</v>
      </c>
      <c r="D5" s="418" t="s">
        <v>182</v>
      </c>
      <c r="E5" s="65">
        <f>'+ пр к ПП2'!H15/1000</f>
        <v>145.012</v>
      </c>
      <c r="F5" s="65">
        <f>'+ пр к ПП2'!I15/1000</f>
        <v>145.012</v>
      </c>
      <c r="G5" s="65">
        <f>'+ пр к ПП2'!J15/1000</f>
        <v>145.012</v>
      </c>
      <c r="H5" s="65">
        <f t="shared" ref="H5:H12" si="0">SUM(E5:G5)</f>
        <v>435.036</v>
      </c>
      <c r="I5" s="15" t="s">
        <v>183</v>
      </c>
    </row>
    <row r="6" spans="1:10" ht="92.25" customHeight="1" x14ac:dyDescent="0.25">
      <c r="A6" s="75" t="s">
        <v>3</v>
      </c>
      <c r="B6" s="16" t="s">
        <v>241</v>
      </c>
      <c r="C6" s="426"/>
      <c r="D6" s="423"/>
      <c r="E6" s="65">
        <f>E5-E7</f>
        <v>133.32392673999999</v>
      </c>
      <c r="F6" s="65">
        <f t="shared" ref="F6:G6" si="1">F5-F7</f>
        <v>133.32392673999999</v>
      </c>
      <c r="G6" s="65">
        <f t="shared" si="1"/>
        <v>133.32392673999999</v>
      </c>
      <c r="H6" s="65">
        <f t="shared" si="0"/>
        <v>399.97178021999997</v>
      </c>
      <c r="I6" s="75" t="s">
        <v>183</v>
      </c>
    </row>
    <row r="7" spans="1:10" ht="92.25" customHeight="1" x14ac:dyDescent="0.25">
      <c r="A7" s="75" t="s">
        <v>83</v>
      </c>
      <c r="B7" s="16" t="s">
        <v>242</v>
      </c>
      <c r="C7" s="427"/>
      <c r="D7" s="419"/>
      <c r="E7" s="65">
        <f>(1688073.36+9999999.9)/1000000</f>
        <v>11.688073259999999</v>
      </c>
      <c r="F7" s="65">
        <f t="shared" ref="F7:G7" si="2">(1688073.36+9999999.9)/1000000</f>
        <v>11.688073259999999</v>
      </c>
      <c r="G7" s="65">
        <f t="shared" si="2"/>
        <v>11.688073259999999</v>
      </c>
      <c r="H7" s="65">
        <f t="shared" si="0"/>
        <v>35.064219780000002</v>
      </c>
      <c r="I7" s="75" t="s">
        <v>183</v>
      </c>
    </row>
    <row r="8" spans="1:10" ht="87" customHeight="1" x14ac:dyDescent="0.25">
      <c r="A8" s="413">
        <v>2</v>
      </c>
      <c r="B8" s="424" t="s">
        <v>105</v>
      </c>
      <c r="C8" s="17" t="s">
        <v>184</v>
      </c>
      <c r="D8" s="413" t="s">
        <v>182</v>
      </c>
      <c r="E8" s="65">
        <f>SUM(E9:E12)</f>
        <v>23.853501561414642</v>
      </c>
      <c r="F8" s="65">
        <f t="shared" ref="F8:G8" si="3">SUM(F9:F12)</f>
        <v>23.853501561414642</v>
      </c>
      <c r="G8" s="65">
        <f t="shared" si="3"/>
        <v>23.853501561414642</v>
      </c>
      <c r="H8" s="65">
        <f t="shared" si="0"/>
        <v>71.560504684243924</v>
      </c>
      <c r="I8" s="418" t="s">
        <v>183</v>
      </c>
    </row>
    <row r="9" spans="1:10" x14ac:dyDescent="0.25">
      <c r="A9" s="413"/>
      <c r="B9" s="424"/>
      <c r="C9" s="18" t="s">
        <v>186</v>
      </c>
      <c r="D9" s="413"/>
      <c r="E9" s="66">
        <f>J9/1000000</f>
        <v>18.31394842027715</v>
      </c>
      <c r="F9" s="66">
        <f>E9</f>
        <v>18.31394842027715</v>
      </c>
      <c r="G9" s="66">
        <f>F9</f>
        <v>18.31394842027715</v>
      </c>
      <c r="H9" s="66">
        <f t="shared" si="0"/>
        <v>54.94184526083145</v>
      </c>
      <c r="I9" s="423"/>
      <c r="J9" s="101">
        <v>18313948.420277148</v>
      </c>
    </row>
    <row r="10" spans="1:10" x14ac:dyDescent="0.25">
      <c r="A10" s="413"/>
      <c r="B10" s="424"/>
      <c r="C10" s="18" t="s">
        <v>187</v>
      </c>
      <c r="D10" s="413"/>
      <c r="E10" s="66">
        <f t="shared" ref="E10:E12" si="4">J10/1000000</f>
        <v>3.2322237667255029</v>
      </c>
      <c r="F10" s="66">
        <f t="shared" ref="F10:G12" si="5">E10</f>
        <v>3.2322237667255029</v>
      </c>
      <c r="G10" s="66">
        <f t="shared" si="5"/>
        <v>3.2322237667255029</v>
      </c>
      <c r="H10" s="66">
        <f t="shared" si="0"/>
        <v>9.6966713001765079</v>
      </c>
      <c r="I10" s="423"/>
      <c r="J10" s="101">
        <v>3232223.7667255029</v>
      </c>
    </row>
    <row r="11" spans="1:10" x14ac:dyDescent="0.25">
      <c r="A11" s="413"/>
      <c r="B11" s="424"/>
      <c r="C11" s="18" t="s">
        <v>188</v>
      </c>
      <c r="D11" s="413"/>
      <c r="E11" s="66">
        <f t="shared" si="4"/>
        <v>1.7207185929828479</v>
      </c>
      <c r="F11" s="66">
        <f t="shared" si="5"/>
        <v>1.7207185929828479</v>
      </c>
      <c r="G11" s="66">
        <f t="shared" si="5"/>
        <v>1.7207185929828479</v>
      </c>
      <c r="H11" s="66">
        <f t="shared" si="0"/>
        <v>5.1621557789485433</v>
      </c>
      <c r="I11" s="423"/>
      <c r="J11" s="101">
        <v>1720718.5929828479</v>
      </c>
    </row>
    <row r="12" spans="1:10" x14ac:dyDescent="0.25">
      <c r="A12" s="413"/>
      <c r="B12" s="424"/>
      <c r="C12" s="18" t="s">
        <v>185</v>
      </c>
      <c r="D12" s="413"/>
      <c r="E12" s="66">
        <f t="shared" si="4"/>
        <v>0.58661078142913992</v>
      </c>
      <c r="F12" s="66">
        <f t="shared" si="5"/>
        <v>0.58661078142913992</v>
      </c>
      <c r="G12" s="66">
        <f t="shared" si="5"/>
        <v>0.58661078142913992</v>
      </c>
      <c r="H12" s="66">
        <f t="shared" si="0"/>
        <v>1.7598323442874197</v>
      </c>
      <c r="I12" s="419"/>
      <c r="J12" s="101">
        <v>586610.7814291399</v>
      </c>
    </row>
    <row r="13" spans="1:10" ht="76.5" hidden="1" x14ac:dyDescent="0.25">
      <c r="A13" s="40">
        <v>3</v>
      </c>
      <c r="B13" s="41" t="e">
        <f>'+ пр к ПП2'!#REF!</f>
        <v>#REF!</v>
      </c>
      <c r="C13" s="16" t="s">
        <v>181</v>
      </c>
      <c r="D13" s="40" t="s">
        <v>214</v>
      </c>
      <c r="E13" s="66" t="e">
        <f>'+ пр к ПП2'!#REF!/1000</f>
        <v>#REF!</v>
      </c>
      <c r="F13" s="66" t="e">
        <f>'+ пр к ПП2'!#REF!/1000</f>
        <v>#REF!</v>
      </c>
      <c r="G13" s="66" t="e">
        <f>'+ пр к ПП2'!#REF!/1000</f>
        <v>#REF!</v>
      </c>
      <c r="H13" s="66" t="e">
        <f t="shared" ref="H13:H14" si="6">SUM(E13:G13)</f>
        <v>#REF!</v>
      </c>
      <c r="I13" s="40" t="s">
        <v>183</v>
      </c>
    </row>
    <row r="14" spans="1:10" ht="65.25" hidden="1" customHeight="1" outlineLevel="1" x14ac:dyDescent="0.25">
      <c r="A14" s="40">
        <v>3</v>
      </c>
      <c r="B14" s="41" t="str">
        <f>'+ пр к ПП2'!B22</f>
        <v>Создание условий для безопасности перевозок автомобильным, авиационным и речным транспортом</v>
      </c>
      <c r="C14" s="22" t="s">
        <v>191</v>
      </c>
      <c r="D14" s="40" t="s">
        <v>182</v>
      </c>
      <c r="E14" s="66">
        <f>'+ пр к ПП2'!H22/1000</f>
        <v>0</v>
      </c>
      <c r="F14" s="66">
        <f>'+ пр к ПП2'!I22/1000</f>
        <v>0</v>
      </c>
      <c r="G14" s="66">
        <f>'+ пр к ПП2'!J22/1000</f>
        <v>0</v>
      </c>
      <c r="H14" s="66">
        <f t="shared" si="6"/>
        <v>0</v>
      </c>
      <c r="I14" s="40" t="s">
        <v>183</v>
      </c>
    </row>
    <row r="15" spans="1:10" ht="140.25" hidden="1" outlineLevel="1" x14ac:dyDescent="0.25">
      <c r="A15" s="92">
        <v>4</v>
      </c>
      <c r="B15" s="93" t="str">
        <f>'+ пр к ПП2'!B24</f>
        <v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v>
      </c>
      <c r="C15" s="22" t="s">
        <v>254</v>
      </c>
      <c r="D15" s="92" t="s">
        <v>182</v>
      </c>
      <c r="E15" s="66">
        <f>'+ пр к ПП2'!H24/1000</f>
        <v>0</v>
      </c>
      <c r="F15" s="66">
        <f>'+ пр к ПП2'!I24/1000</f>
        <v>0</v>
      </c>
      <c r="G15" s="66">
        <f>'+ пр к ПП2'!J24/1000</f>
        <v>0</v>
      </c>
      <c r="H15" s="66">
        <f>'+ пр к ПП2'!K24/1000</f>
        <v>0</v>
      </c>
      <c r="I15" s="92" t="s">
        <v>183</v>
      </c>
    </row>
    <row r="16" spans="1:10" s="21" customFormat="1" collapsed="1" x14ac:dyDescent="0.25">
      <c r="A16" s="19"/>
      <c r="B16" s="48" t="s">
        <v>216</v>
      </c>
      <c r="C16" s="20" t="s">
        <v>30</v>
      </c>
      <c r="D16" s="20" t="s">
        <v>30</v>
      </c>
      <c r="E16" s="67">
        <f>E5+E8+E15</f>
        <v>168.86550156141465</v>
      </c>
      <c r="F16" s="67">
        <f t="shared" ref="F16:H16" si="7">F5+F8+F15</f>
        <v>168.86550156141465</v>
      </c>
      <c r="G16" s="67">
        <f t="shared" si="7"/>
        <v>168.86550156141465</v>
      </c>
      <c r="H16" s="67">
        <f t="shared" si="7"/>
        <v>506.59650468424394</v>
      </c>
      <c r="I16" s="20" t="s">
        <v>30</v>
      </c>
    </row>
    <row r="19" spans="3:8" x14ac:dyDescent="0.25">
      <c r="C19" s="18"/>
      <c r="E19" s="100">
        <f>E16*1000-'+ пр к ПП2'!H44</f>
        <v>-31108.371438585338</v>
      </c>
      <c r="F19" s="100">
        <f>F16*1000-'+ пр к ПП2'!I44</f>
        <v>-31108.371438585338</v>
      </c>
      <c r="G19" s="100">
        <f>G16*1000-'+ пр к ПП2'!J44</f>
        <v>-31108.371438585338</v>
      </c>
      <c r="H19" s="100">
        <f>H16*1000-'+ пр к ПП2'!K44</f>
        <v>-93325.114315756015</v>
      </c>
    </row>
  </sheetData>
  <mergeCells count="15">
    <mergeCell ref="A8:A12"/>
    <mergeCell ref="B8:B12"/>
    <mergeCell ref="D8:D12"/>
    <mergeCell ref="I8:I12"/>
    <mergeCell ref="A1:A4"/>
    <mergeCell ref="B1:B4"/>
    <mergeCell ref="C1:C4"/>
    <mergeCell ref="D1:D4"/>
    <mergeCell ref="E1:I1"/>
    <mergeCell ref="E2:H2"/>
    <mergeCell ref="I2:I4"/>
    <mergeCell ref="E3:G3"/>
    <mergeCell ref="H3:H4"/>
    <mergeCell ref="C5:C7"/>
    <mergeCell ref="D5:D7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A4" workbookViewId="0">
      <selection activeCell="L7" sqref="L7"/>
    </sheetView>
  </sheetViews>
  <sheetFormatPr defaultRowHeight="15.75" outlineLevelRow="1" x14ac:dyDescent="0.25"/>
  <cols>
    <col min="1" max="1" width="3.5" style="43" customWidth="1"/>
    <col min="2" max="2" width="20.375" customWidth="1"/>
    <col min="3" max="3" width="28" customWidth="1"/>
    <col min="4" max="4" width="10" customWidth="1"/>
    <col min="9" max="9" width="9" style="24"/>
  </cols>
  <sheetData>
    <row r="1" spans="1:9" x14ac:dyDescent="0.25">
      <c r="A1" s="432" t="s">
        <v>19</v>
      </c>
      <c r="B1" s="432" t="s">
        <v>173</v>
      </c>
      <c r="C1" s="432" t="s">
        <v>174</v>
      </c>
      <c r="D1" s="432" t="s">
        <v>175</v>
      </c>
      <c r="E1" s="432" t="s">
        <v>176</v>
      </c>
      <c r="F1" s="432"/>
      <c r="G1" s="432"/>
      <c r="H1" s="432"/>
      <c r="I1" s="432"/>
    </row>
    <row r="2" spans="1:9" x14ac:dyDescent="0.25">
      <c r="A2" s="432"/>
      <c r="B2" s="432"/>
      <c r="C2" s="432"/>
      <c r="D2" s="432"/>
      <c r="E2" s="432" t="s">
        <v>215</v>
      </c>
      <c r="F2" s="432"/>
      <c r="G2" s="432"/>
      <c r="H2" s="432"/>
      <c r="I2" s="432" t="s">
        <v>178</v>
      </c>
    </row>
    <row r="3" spans="1:9" x14ac:dyDescent="0.25">
      <c r="A3" s="432"/>
      <c r="B3" s="432"/>
      <c r="C3" s="432"/>
      <c r="D3" s="432"/>
      <c r="E3" s="432" t="s">
        <v>179</v>
      </c>
      <c r="F3" s="432"/>
      <c r="G3" s="432"/>
      <c r="H3" s="432" t="s">
        <v>180</v>
      </c>
      <c r="I3" s="432"/>
    </row>
    <row r="4" spans="1:9" x14ac:dyDescent="0.25">
      <c r="A4" s="432"/>
      <c r="B4" s="432"/>
      <c r="C4" s="432"/>
      <c r="D4" s="432"/>
      <c r="E4" s="75" t="str">
        <f>пп1!F4</f>
        <v>2023</v>
      </c>
      <c r="F4" s="104" t="str">
        <f>пп1!G4</f>
        <v>2024</v>
      </c>
      <c r="G4" s="104" t="str">
        <f>пп1!H4</f>
        <v>2025</v>
      </c>
      <c r="H4" s="432"/>
      <c r="I4" s="432"/>
    </row>
    <row r="5" spans="1:9" ht="72.75" hidden="1" customHeight="1" outlineLevel="1" x14ac:dyDescent="0.25">
      <c r="A5" s="79">
        <v>1</v>
      </c>
      <c r="B5" s="58" t="str">
        <f>'+пр к ПП3'!B15</f>
        <v>Проведение мероприятий, направленных на обеспечение безопасного участия детей в дорожном движении</v>
      </c>
      <c r="C5" s="431" t="s">
        <v>218</v>
      </c>
      <c r="D5" s="432" t="s">
        <v>217</v>
      </c>
      <c r="E5" s="44">
        <f>E6+E7</f>
        <v>0</v>
      </c>
      <c r="F5" s="44">
        <f t="shared" ref="F5:G5" si="0">F6+F7</f>
        <v>0</v>
      </c>
      <c r="G5" s="44">
        <f t="shared" si="0"/>
        <v>0</v>
      </c>
      <c r="H5" s="44">
        <f>SUM(E5:G5)</f>
        <v>0</v>
      </c>
      <c r="I5" s="79"/>
    </row>
    <row r="6" spans="1:9" ht="101.25" hidden="1" customHeight="1" outlineLevel="1" x14ac:dyDescent="0.25">
      <c r="A6" s="79" t="s">
        <v>3</v>
      </c>
      <c r="B6" s="58" t="s">
        <v>230</v>
      </c>
      <c r="C6" s="431"/>
      <c r="D6" s="432"/>
      <c r="E6" s="44">
        <f>'+пр к ПП3'!H15</f>
        <v>0</v>
      </c>
      <c r="F6" s="44">
        <f>'+пр к ПП3'!I15</f>
        <v>0</v>
      </c>
      <c r="G6" s="44">
        <f>'+пр к ПП3'!J15</f>
        <v>0</v>
      </c>
      <c r="H6" s="44">
        <f t="shared" ref="H6:H10" si="1">SUM(E6:G6)</f>
        <v>0</v>
      </c>
      <c r="I6" s="79" t="s">
        <v>190</v>
      </c>
    </row>
    <row r="7" spans="1:9" ht="93.75" hidden="1" customHeight="1" outlineLevel="1" x14ac:dyDescent="0.25">
      <c r="A7" s="79" t="s">
        <v>83</v>
      </c>
      <c r="B7" s="58" t="s">
        <v>231</v>
      </c>
      <c r="C7" s="431"/>
      <c r="D7" s="432"/>
      <c r="E7" s="44">
        <f>'+пр к ПП3'!H16</f>
        <v>0</v>
      </c>
      <c r="F7" s="44">
        <f>'+пр к ПП3'!I16</f>
        <v>0</v>
      </c>
      <c r="G7" s="44">
        <f>'+пр к ПП3'!J16</f>
        <v>0</v>
      </c>
      <c r="H7" s="44">
        <f t="shared" si="1"/>
        <v>0</v>
      </c>
      <c r="I7" s="79" t="s">
        <v>183</v>
      </c>
    </row>
    <row r="8" spans="1:9" ht="38.25" customHeight="1" collapsed="1" x14ac:dyDescent="0.25">
      <c r="A8" s="428">
        <v>1</v>
      </c>
      <c r="B8" s="428" t="str">
        <f>'+пр к ПП3'!B18</f>
        <v>Расходы на реализацию мероприятий, направленных на повышение безопасности дорожного движения, за счет средств дорожного фонда Красноярского края</v>
      </c>
      <c r="C8" s="58" t="s">
        <v>189</v>
      </c>
      <c r="D8" s="428" t="s">
        <v>55</v>
      </c>
      <c r="E8" s="46">
        <f>E9+E10</f>
        <v>220.5</v>
      </c>
      <c r="F8" s="46">
        <f>'+пр к ПП3'!I18</f>
        <v>0</v>
      </c>
      <c r="G8" s="46">
        <f>'+пр к ПП3'!J18</f>
        <v>0</v>
      </c>
      <c r="H8" s="44">
        <f t="shared" si="1"/>
        <v>220.5</v>
      </c>
      <c r="I8" s="428" t="s">
        <v>190</v>
      </c>
    </row>
    <row r="9" spans="1:9" ht="30.75" customHeight="1" x14ac:dyDescent="0.25">
      <c r="A9" s="429"/>
      <c r="B9" s="429"/>
      <c r="C9" s="106" t="s">
        <v>187</v>
      </c>
      <c r="D9" s="429"/>
      <c r="E9" s="46">
        <v>88.2</v>
      </c>
      <c r="F9" s="46"/>
      <c r="G9" s="46"/>
      <c r="H9" s="44">
        <f t="shared" si="1"/>
        <v>88.2</v>
      </c>
      <c r="I9" s="429"/>
    </row>
    <row r="10" spans="1:9" ht="25.5" x14ac:dyDescent="0.25">
      <c r="A10" s="430"/>
      <c r="B10" s="430"/>
      <c r="C10" s="106" t="s">
        <v>186</v>
      </c>
      <c r="D10" s="430"/>
      <c r="E10" s="46">
        <v>132.30000000000001</v>
      </c>
      <c r="F10" s="46"/>
      <c r="G10" s="46"/>
      <c r="H10" s="44">
        <f t="shared" si="1"/>
        <v>132.30000000000001</v>
      </c>
      <c r="I10" s="430"/>
    </row>
    <row r="11" spans="1:9" ht="102" x14ac:dyDescent="0.25">
      <c r="A11" s="80">
        <v>2</v>
      </c>
      <c r="B11" s="64" t="str">
        <f>'+пр к ПП3'!B20</f>
        <v>Расходы бюджетов муниципальных образований на проведение мероприятий по формированию законопослушного поведения участников дорожного движения</v>
      </c>
      <c r="C11" s="81" t="s">
        <v>248</v>
      </c>
      <c r="D11" s="80" t="s">
        <v>250</v>
      </c>
      <c r="E11" s="46">
        <v>0</v>
      </c>
      <c r="F11" s="46">
        <v>0</v>
      </c>
      <c r="G11" s="46">
        <v>0</v>
      </c>
      <c r="H11" s="44">
        <v>0</v>
      </c>
      <c r="I11" s="80" t="s">
        <v>251</v>
      </c>
    </row>
    <row r="12" spans="1:9" s="21" customFormat="1" x14ac:dyDescent="0.25">
      <c r="A12" s="47"/>
      <c r="B12" s="48" t="s">
        <v>216</v>
      </c>
      <c r="C12" s="47" t="s">
        <v>30</v>
      </c>
      <c r="D12" s="47" t="s">
        <v>30</v>
      </c>
      <c r="E12" s="49">
        <f>E5+E8</f>
        <v>220.5</v>
      </c>
      <c r="F12" s="49">
        <f t="shared" ref="F12:H12" si="2">F5+F8</f>
        <v>0</v>
      </c>
      <c r="G12" s="49">
        <f t="shared" si="2"/>
        <v>0</v>
      </c>
      <c r="H12" s="49">
        <f t="shared" si="2"/>
        <v>220.5</v>
      </c>
      <c r="I12" s="47" t="s">
        <v>30</v>
      </c>
    </row>
    <row r="14" spans="1:9" x14ac:dyDescent="0.25">
      <c r="E14" s="91">
        <f>'+пр к ПП3'!H24</f>
        <v>0</v>
      </c>
      <c r="F14" s="69">
        <f>'+пр к ПП3'!I24</f>
        <v>0</v>
      </c>
      <c r="G14" s="69">
        <f>'+пр к ПП3'!J24</f>
        <v>0</v>
      </c>
      <c r="H14">
        <f t="shared" ref="H14" si="3">SUM(E14:G14)</f>
        <v>0</v>
      </c>
    </row>
    <row r="15" spans="1:9" x14ac:dyDescent="0.25">
      <c r="E15" t="b">
        <f>E14=E8</f>
        <v>0</v>
      </c>
      <c r="F15" t="b">
        <f t="shared" ref="F15:G15" si="4">F14=F8</f>
        <v>1</v>
      </c>
      <c r="G15" t="b">
        <f t="shared" si="4"/>
        <v>1</v>
      </c>
      <c r="H15" t="b">
        <f>H14=H8</f>
        <v>0</v>
      </c>
    </row>
  </sheetData>
  <mergeCells count="15">
    <mergeCell ref="A1:A4"/>
    <mergeCell ref="B1:B4"/>
    <mergeCell ref="C1:C4"/>
    <mergeCell ref="D1:D4"/>
    <mergeCell ref="E1:I1"/>
    <mergeCell ref="E2:H2"/>
    <mergeCell ref="I2:I4"/>
    <mergeCell ref="E3:G3"/>
    <mergeCell ref="H3:H4"/>
    <mergeCell ref="A8:A10"/>
    <mergeCell ref="B8:B10"/>
    <mergeCell ref="D8:D10"/>
    <mergeCell ref="I8:I10"/>
    <mergeCell ref="C5:C7"/>
    <mergeCell ref="D5:D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view="pageBreakPreview" topLeftCell="A4" zoomScale="115" zoomScaleNormal="85" zoomScaleSheetLayoutView="115" workbookViewId="0">
      <selection activeCell="L7" sqref="L7"/>
    </sheetView>
  </sheetViews>
  <sheetFormatPr defaultRowHeight="15.75" x14ac:dyDescent="0.25"/>
  <cols>
    <col min="2" max="2" width="17.375" customWidth="1"/>
    <col min="3" max="3" width="21.375" customWidth="1"/>
    <col min="5" max="7" width="6.625" customWidth="1"/>
  </cols>
  <sheetData>
    <row r="1" spans="1:9" x14ac:dyDescent="0.25">
      <c r="A1" s="432" t="s">
        <v>19</v>
      </c>
      <c r="B1" s="432" t="s">
        <v>173</v>
      </c>
      <c r="C1" s="432" t="s">
        <v>174</v>
      </c>
      <c r="D1" s="432" t="s">
        <v>175</v>
      </c>
      <c r="E1" s="432" t="s">
        <v>176</v>
      </c>
      <c r="F1" s="432"/>
      <c r="G1" s="432"/>
      <c r="H1" s="432"/>
      <c r="I1" s="432"/>
    </row>
    <row r="2" spans="1:9" x14ac:dyDescent="0.25">
      <c r="A2" s="432"/>
      <c r="B2" s="432"/>
      <c r="C2" s="432"/>
      <c r="D2" s="432"/>
      <c r="E2" s="432" t="s">
        <v>215</v>
      </c>
      <c r="F2" s="432"/>
      <c r="G2" s="432"/>
      <c r="H2" s="432"/>
      <c r="I2" s="432" t="s">
        <v>178</v>
      </c>
    </row>
    <row r="3" spans="1:9" x14ac:dyDescent="0.25">
      <c r="A3" s="432"/>
      <c r="B3" s="432"/>
      <c r="C3" s="432"/>
      <c r="D3" s="432"/>
      <c r="E3" s="432" t="s">
        <v>179</v>
      </c>
      <c r="F3" s="432"/>
      <c r="G3" s="432"/>
      <c r="H3" s="432" t="s">
        <v>180</v>
      </c>
      <c r="I3" s="432"/>
    </row>
    <row r="4" spans="1:9" x14ac:dyDescent="0.25">
      <c r="A4" s="432"/>
      <c r="B4" s="432"/>
      <c r="C4" s="432"/>
      <c r="D4" s="432"/>
      <c r="E4" s="75">
        <v>2018</v>
      </c>
      <c r="F4" s="75">
        <v>2019</v>
      </c>
      <c r="G4" s="75">
        <v>2020</v>
      </c>
      <c r="H4" s="432"/>
      <c r="I4" s="432"/>
    </row>
    <row r="5" spans="1:9" ht="178.5" customHeight="1" x14ac:dyDescent="0.25">
      <c r="A5" s="79">
        <v>1</v>
      </c>
      <c r="B5" s="84" t="s">
        <v>232</v>
      </c>
      <c r="C5" s="58" t="s">
        <v>218</v>
      </c>
      <c r="D5" s="79" t="s">
        <v>182</v>
      </c>
      <c r="E5" s="45">
        <f>'+пр к ПП4'!I15/1000</f>
        <v>15.6</v>
      </c>
      <c r="F5" s="45">
        <f>'+пр к ПП4'!J15/1000</f>
        <v>15.6</v>
      </c>
      <c r="G5" s="45">
        <f>'+пр к ПП4'!K15/1000</f>
        <v>15.6</v>
      </c>
      <c r="H5" s="44">
        <f t="shared" ref="H5" si="0">SUM(E5:G5)</f>
        <v>46.8</v>
      </c>
      <c r="I5" s="79" t="s">
        <v>183</v>
      </c>
    </row>
    <row r="6" spans="1:9" ht="106.5" customHeight="1" x14ac:dyDescent="0.25">
      <c r="A6" s="433">
        <v>2</v>
      </c>
      <c r="B6" s="86" t="str">
        <f>'+пр к ПП4'!B17</f>
        <v>Создание условий для развития услуг связи в малочисленных и труднодоступных населенных пунктах Красноярского края Туруханского района</v>
      </c>
      <c r="C6" s="434" t="s">
        <v>191</v>
      </c>
      <c r="D6" s="413" t="s">
        <v>182</v>
      </c>
      <c r="E6" s="83">
        <f>E7+E8</f>
        <v>0</v>
      </c>
      <c r="F6" s="89">
        <f t="shared" ref="F6:H6" si="1">F7+F8</f>
        <v>0</v>
      </c>
      <c r="G6" s="89">
        <f t="shared" si="1"/>
        <v>0</v>
      </c>
      <c r="H6" s="83">
        <f t="shared" si="1"/>
        <v>0</v>
      </c>
      <c r="I6" s="82"/>
    </row>
    <row r="7" spans="1:9" ht="25.5" x14ac:dyDescent="0.25">
      <c r="A7" s="433"/>
      <c r="B7" s="87" t="s">
        <v>243</v>
      </c>
      <c r="C7" s="434"/>
      <c r="D7" s="413"/>
      <c r="E7" s="75">
        <f>'+пр к ПП4'!I17/1000</f>
        <v>0</v>
      </c>
      <c r="F7" s="89">
        <v>0</v>
      </c>
      <c r="G7" s="89">
        <v>0</v>
      </c>
      <c r="H7" s="75">
        <f>'+пр к ПП4'!L17/1000</f>
        <v>0</v>
      </c>
      <c r="I7" s="75" t="s">
        <v>190</v>
      </c>
    </row>
    <row r="8" spans="1:9" ht="25.5" x14ac:dyDescent="0.25">
      <c r="A8" s="433"/>
      <c r="B8" s="88"/>
      <c r="C8" s="434"/>
      <c r="D8" s="413"/>
      <c r="E8" s="83">
        <f>'+пр к ПП4'!I18/1000</f>
        <v>0</v>
      </c>
      <c r="F8" s="89">
        <v>0</v>
      </c>
      <c r="G8" s="89">
        <v>0</v>
      </c>
      <c r="H8" s="83">
        <f>'+пр к ПП4'!L18/1000</f>
        <v>0</v>
      </c>
      <c r="I8" s="75" t="s">
        <v>183</v>
      </c>
    </row>
    <row r="9" spans="1:9" ht="25.5" x14ac:dyDescent="0.25">
      <c r="A9" s="47"/>
      <c r="B9" s="85" t="s">
        <v>216</v>
      </c>
      <c r="C9" s="47" t="s">
        <v>30</v>
      </c>
      <c r="D9" s="47" t="s">
        <v>30</v>
      </c>
      <c r="E9" s="49">
        <f>E5+E6</f>
        <v>15.6</v>
      </c>
      <c r="F9" s="49">
        <f t="shared" ref="F9:H9" si="2">F5+F6</f>
        <v>15.6</v>
      </c>
      <c r="G9" s="49">
        <f t="shared" si="2"/>
        <v>15.6</v>
      </c>
      <c r="H9" s="49">
        <f t="shared" si="2"/>
        <v>46.8</v>
      </c>
      <c r="I9" s="47" t="s">
        <v>30</v>
      </c>
    </row>
  </sheetData>
  <mergeCells count="12">
    <mergeCell ref="E1:I1"/>
    <mergeCell ref="E2:H2"/>
    <mergeCell ref="I2:I4"/>
    <mergeCell ref="E3:G3"/>
    <mergeCell ref="H3:H4"/>
    <mergeCell ref="A6:A8"/>
    <mergeCell ref="C6:C8"/>
    <mergeCell ref="D6:D8"/>
    <mergeCell ref="A1:A4"/>
    <mergeCell ref="B1:B4"/>
    <mergeCell ref="C1:C4"/>
    <mergeCell ref="D1:D4"/>
  </mergeCells>
  <pageMargins left="0.7" right="0.7" top="0.75" bottom="0.75" header="0.3" footer="0.3"/>
  <pageSetup paperSize="9" scale="8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K26"/>
  <sheetViews>
    <sheetView view="pageBreakPreview" topLeftCell="A4" zoomScale="85" zoomScaleNormal="70" zoomScaleSheetLayoutView="85" workbookViewId="0">
      <selection activeCell="A14" sqref="A14:H14"/>
    </sheetView>
  </sheetViews>
  <sheetFormatPr defaultColWidth="9" defaultRowHeight="15.75" x14ac:dyDescent="0.25"/>
  <cols>
    <col min="1" max="1" width="4.75" style="141" customWidth="1"/>
    <col min="2" max="2" width="43.5" style="142" customWidth="1"/>
    <col min="3" max="3" width="10.5" style="141" customWidth="1"/>
    <col min="4" max="4" width="14.875" style="142" customWidth="1"/>
    <col min="5" max="5" width="12.875" style="142" customWidth="1"/>
    <col min="6" max="6" width="14.375" style="142" customWidth="1"/>
    <col min="7" max="7" width="13" style="142" customWidth="1"/>
    <col min="8" max="8" width="12" style="142" customWidth="1"/>
    <col min="9" max="16384" width="9" style="142"/>
  </cols>
  <sheetData>
    <row r="1" spans="1:8" ht="81" hidden="1" customHeight="1" x14ac:dyDescent="0.25">
      <c r="F1" s="317"/>
      <c r="G1" s="317"/>
      <c r="H1" s="317"/>
    </row>
    <row r="2" spans="1:8" hidden="1" x14ac:dyDescent="0.25"/>
    <row r="3" spans="1:8" hidden="1" x14ac:dyDescent="0.25"/>
    <row r="4" spans="1:8" s="1" customFormat="1" ht="130.5" customHeight="1" x14ac:dyDescent="0.25">
      <c r="A4" s="2"/>
      <c r="C4" s="2"/>
      <c r="F4" s="318" t="s">
        <v>198</v>
      </c>
      <c r="G4" s="318"/>
      <c r="H4" s="318"/>
    </row>
    <row r="5" spans="1:8" s="1" customFormat="1" ht="18.75" x14ac:dyDescent="0.25">
      <c r="A5" s="220"/>
      <c r="C5" s="2"/>
    </row>
    <row r="6" spans="1:8" s="1" customFormat="1" ht="18.75" x14ac:dyDescent="0.25">
      <c r="A6" s="220"/>
      <c r="C6" s="2"/>
    </row>
    <row r="7" spans="1:8" s="1" customFormat="1" ht="18.75" x14ac:dyDescent="0.25">
      <c r="A7" s="320" t="s">
        <v>1</v>
      </c>
      <c r="B7" s="320"/>
      <c r="C7" s="320"/>
      <c r="D7" s="320"/>
      <c r="E7" s="320"/>
      <c r="F7" s="320"/>
      <c r="G7" s="320"/>
      <c r="H7" s="320"/>
    </row>
    <row r="8" spans="1:8" s="1" customFormat="1" ht="18.75" x14ac:dyDescent="0.25">
      <c r="A8" s="331" t="s">
        <v>96</v>
      </c>
      <c r="B8" s="320"/>
      <c r="C8" s="320"/>
      <c r="D8" s="320"/>
      <c r="E8" s="320"/>
      <c r="F8" s="320"/>
      <c r="G8" s="320"/>
      <c r="H8" s="320"/>
    </row>
    <row r="9" spans="1:8" s="1" customFormat="1" ht="36" customHeight="1" x14ac:dyDescent="0.25">
      <c r="A9" s="331" t="s">
        <v>95</v>
      </c>
      <c r="B9" s="320"/>
      <c r="C9" s="320"/>
      <c r="D9" s="320"/>
      <c r="E9" s="320"/>
      <c r="F9" s="320"/>
      <c r="G9" s="320"/>
      <c r="H9" s="320"/>
    </row>
    <row r="10" spans="1:8" s="1" customFormat="1" ht="13.5" customHeight="1" x14ac:dyDescent="0.25">
      <c r="A10" s="220"/>
      <c r="C10" s="2"/>
    </row>
    <row r="11" spans="1:8" s="1" customFormat="1" x14ac:dyDescent="0.25">
      <c r="A11" s="321" t="s">
        <v>19</v>
      </c>
      <c r="B11" s="321" t="s">
        <v>46</v>
      </c>
      <c r="C11" s="321" t="s">
        <v>2</v>
      </c>
      <c r="D11" s="321" t="s">
        <v>47</v>
      </c>
      <c r="E11" s="321" t="s">
        <v>48</v>
      </c>
      <c r="F11" s="321"/>
      <c r="G11" s="321"/>
      <c r="H11" s="321"/>
    </row>
    <row r="12" spans="1:8" s="1" customFormat="1" x14ac:dyDescent="0.25">
      <c r="A12" s="321"/>
      <c r="B12" s="321"/>
      <c r="C12" s="321"/>
      <c r="D12" s="321"/>
      <c r="E12" s="219">
        <v>2022</v>
      </c>
      <c r="F12" s="219">
        <v>2023</v>
      </c>
      <c r="G12" s="219">
        <v>2024</v>
      </c>
      <c r="H12" s="219">
        <v>2025</v>
      </c>
    </row>
    <row r="13" spans="1:8" s="1" customFormat="1" x14ac:dyDescent="0.25">
      <c r="A13" s="219">
        <v>1</v>
      </c>
      <c r="B13" s="219">
        <v>2</v>
      </c>
      <c r="C13" s="219">
        <v>3</v>
      </c>
      <c r="D13" s="219">
        <v>4</v>
      </c>
      <c r="E13" s="219">
        <v>5</v>
      </c>
      <c r="F13" s="219">
        <v>6</v>
      </c>
      <c r="G13" s="219">
        <v>7</v>
      </c>
      <c r="H13" s="219">
        <v>8</v>
      </c>
    </row>
    <row r="14" spans="1:8" s="1" customFormat="1" ht="50.25" customHeight="1" x14ac:dyDescent="0.25">
      <c r="A14" s="330" t="str">
        <f>'пр к ПП1'!A13:M13</f>
        <v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v>
      </c>
      <c r="B14" s="330"/>
      <c r="C14" s="330"/>
      <c r="D14" s="330"/>
      <c r="E14" s="330"/>
      <c r="F14" s="330"/>
      <c r="G14" s="330"/>
      <c r="H14" s="330"/>
    </row>
    <row r="15" spans="1:8" s="1" customFormat="1" ht="33" customHeight="1" x14ac:dyDescent="0.25">
      <c r="A15" s="330" t="str">
        <f>'пр к ПП1'!A14:M14</f>
        <v>Задача 1. Улучшение технического состояния существующей улично-дорожной сети и автомобильных дорог местного значения.</v>
      </c>
      <c r="B15" s="330"/>
      <c r="C15" s="330"/>
      <c r="D15" s="330"/>
      <c r="E15" s="330"/>
      <c r="F15" s="330"/>
      <c r="G15" s="330"/>
      <c r="H15" s="330"/>
    </row>
    <row r="16" spans="1:8" ht="47.25" x14ac:dyDescent="0.25">
      <c r="A16" s="249" t="s">
        <v>3</v>
      </c>
      <c r="B16" s="132" t="s">
        <v>68</v>
      </c>
      <c r="C16" s="249" t="s">
        <v>69</v>
      </c>
      <c r="D16" s="249" t="s">
        <v>70</v>
      </c>
      <c r="E16" s="252">
        <v>4.1100000000000003</v>
      </c>
      <c r="F16" s="252">
        <v>4.1100000000000003</v>
      </c>
      <c r="G16" s="252">
        <v>4.1100000000000003</v>
      </c>
      <c r="H16" s="252">
        <v>4.1100000000000003</v>
      </c>
    </row>
    <row r="17" spans="1:11" s="1" customFormat="1" ht="47.25" x14ac:dyDescent="0.25">
      <c r="A17" s="216" t="s">
        <v>83</v>
      </c>
      <c r="B17" s="132" t="s">
        <v>71</v>
      </c>
      <c r="C17" s="216" t="s">
        <v>69</v>
      </c>
      <c r="D17" s="216" t="s">
        <v>72</v>
      </c>
      <c r="E17" s="243">
        <v>280</v>
      </c>
      <c r="F17" s="243">
        <v>280</v>
      </c>
      <c r="G17" s="243">
        <v>280</v>
      </c>
      <c r="H17" s="243">
        <v>280</v>
      </c>
    </row>
    <row r="18" spans="1:11" s="1" customFormat="1" ht="31.5" x14ac:dyDescent="0.25">
      <c r="A18" s="216" t="s">
        <v>85</v>
      </c>
      <c r="B18" s="132" t="s">
        <v>75</v>
      </c>
      <c r="C18" s="216" t="s">
        <v>73</v>
      </c>
      <c r="D18" s="216" t="s">
        <v>74</v>
      </c>
      <c r="E18" s="244">
        <v>1</v>
      </c>
      <c r="F18" s="244">
        <v>1</v>
      </c>
      <c r="G18" s="244">
        <v>1</v>
      </c>
      <c r="H18" s="244">
        <f t="shared" ref="H18" si="0">G18</f>
        <v>1</v>
      </c>
    </row>
    <row r="19" spans="1:11" ht="18.75" x14ac:dyDescent="0.25">
      <c r="A19" s="144"/>
    </row>
    <row r="20" spans="1:11" ht="18.75" x14ac:dyDescent="0.25">
      <c r="A20" s="144"/>
    </row>
    <row r="21" spans="1:11" ht="18.75" x14ac:dyDescent="0.25">
      <c r="A21" s="144"/>
    </row>
    <row r="22" spans="1:11" x14ac:dyDescent="0.25">
      <c r="K22" s="142">
        <v>3000</v>
      </c>
    </row>
    <row r="23" spans="1:11" x14ac:dyDescent="0.25">
      <c r="K23" s="142">
        <v>300</v>
      </c>
    </row>
    <row r="24" spans="1:11" x14ac:dyDescent="0.25">
      <c r="K24" s="142">
        <v>17650.099999999999</v>
      </c>
    </row>
    <row r="25" spans="1:11" x14ac:dyDescent="0.25">
      <c r="K25" s="142">
        <v>530</v>
      </c>
    </row>
    <row r="26" spans="1:11" x14ac:dyDescent="0.25">
      <c r="K26" s="142">
        <f>SUM(K22:K25)</f>
        <v>21480.1</v>
      </c>
    </row>
  </sheetData>
  <mergeCells count="12">
    <mergeCell ref="F1:H1"/>
    <mergeCell ref="A15:H15"/>
    <mergeCell ref="F4:H4"/>
    <mergeCell ref="A14:H14"/>
    <mergeCell ref="A7:H7"/>
    <mergeCell ref="A8:H8"/>
    <mergeCell ref="A11:A12"/>
    <mergeCell ref="B11:B12"/>
    <mergeCell ref="C11:C12"/>
    <mergeCell ref="D11:D12"/>
    <mergeCell ref="E11:H11"/>
    <mergeCell ref="A9:H9"/>
  </mergeCells>
  <pageMargins left="0.78740157480314965" right="0.78740157480314965" top="1.1811023622047245" bottom="0.39370078740157483" header="0.31496062992125984" footer="0.31496062992125984"/>
  <pageSetup paperSize="9" scale="9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S47"/>
  <sheetViews>
    <sheetView tabSelected="1" view="pageBreakPreview" topLeftCell="A14" zoomScale="70" zoomScaleNormal="55" zoomScaleSheetLayoutView="70" workbookViewId="0">
      <selection activeCell="L36" sqref="L36"/>
    </sheetView>
  </sheetViews>
  <sheetFormatPr defaultColWidth="9" defaultRowHeight="18.75" outlineLevelRow="1" x14ac:dyDescent="0.25"/>
  <cols>
    <col min="1" max="1" width="4.75" style="154" customWidth="1"/>
    <col min="2" max="2" width="49.625" style="155" customWidth="1"/>
    <col min="3" max="3" width="25.125" style="155" customWidth="1"/>
    <col min="4" max="5" width="7.375" style="155" customWidth="1"/>
    <col min="6" max="6" width="17.75" style="155" customWidth="1"/>
    <col min="7" max="8" width="5.75" style="155" customWidth="1"/>
    <col min="9" max="9" width="16.875" style="8" bestFit="1" customWidth="1"/>
    <col min="10" max="11" width="16.875" style="155" bestFit="1" customWidth="1"/>
    <col min="12" max="12" width="20" style="155" customWidth="1"/>
    <col min="13" max="13" width="24.5" style="155" customWidth="1"/>
    <col min="14" max="14" width="57.625" style="155" customWidth="1"/>
    <col min="15" max="15" width="24" style="155" customWidth="1"/>
    <col min="16" max="16384" width="9" style="155"/>
  </cols>
  <sheetData>
    <row r="1" spans="1:13" ht="84" hidden="1" customHeight="1" outlineLevel="1" x14ac:dyDescent="0.3">
      <c r="L1" s="338" t="s">
        <v>244</v>
      </c>
      <c r="M1" s="338"/>
    </row>
    <row r="2" spans="1:13" hidden="1" outlineLevel="1" x14ac:dyDescent="0.25"/>
    <row r="3" spans="1:13" hidden="1" outlineLevel="1" x14ac:dyDescent="0.25"/>
    <row r="4" spans="1:13" ht="121.5" customHeight="1" collapsed="1" x14ac:dyDescent="0.25">
      <c r="A4" s="136"/>
      <c r="B4" s="8"/>
      <c r="C4" s="8"/>
      <c r="D4" s="8"/>
      <c r="E4" s="8"/>
      <c r="F4" s="8"/>
      <c r="G4" s="8"/>
      <c r="H4" s="8"/>
      <c r="J4" s="8"/>
      <c r="K4" s="8"/>
      <c r="L4" s="339" t="s">
        <v>199</v>
      </c>
      <c r="M4" s="339"/>
    </row>
    <row r="5" spans="1:13" x14ac:dyDescent="0.25">
      <c r="A5" s="136"/>
      <c r="B5" s="8"/>
      <c r="C5" s="8"/>
      <c r="D5" s="8"/>
      <c r="E5" s="8"/>
      <c r="F5" s="8"/>
      <c r="G5" s="8"/>
      <c r="H5" s="8"/>
      <c r="J5" s="8"/>
      <c r="K5" s="8"/>
      <c r="L5" s="8"/>
      <c r="M5" s="8"/>
    </row>
    <row r="6" spans="1:13" x14ac:dyDescent="0.25">
      <c r="A6" s="136"/>
      <c r="B6" s="8"/>
      <c r="C6" s="8"/>
      <c r="D6" s="8"/>
      <c r="E6" s="8"/>
      <c r="F6" s="8"/>
      <c r="G6" s="8"/>
      <c r="H6" s="8"/>
      <c r="J6" s="8"/>
      <c r="K6" s="8"/>
      <c r="L6" s="8"/>
      <c r="M6" s="8"/>
    </row>
    <row r="7" spans="1:13" x14ac:dyDescent="0.25">
      <c r="A7" s="342" t="s">
        <v>1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2"/>
    </row>
    <row r="8" spans="1:13" x14ac:dyDescent="0.25">
      <c r="A8" s="342" t="s">
        <v>63</v>
      </c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</row>
    <row r="9" spans="1:13" x14ac:dyDescent="0.25">
      <c r="A9" s="136"/>
      <c r="B9" s="8"/>
      <c r="C9" s="8"/>
      <c r="D9" s="8"/>
      <c r="E9" s="8"/>
      <c r="F9" s="8"/>
      <c r="G9" s="8"/>
      <c r="H9" s="8"/>
      <c r="J9" s="8"/>
      <c r="K9" s="8"/>
      <c r="L9" s="8"/>
      <c r="M9" s="8"/>
    </row>
    <row r="10" spans="1:13" ht="42.75" customHeight="1" x14ac:dyDescent="0.25">
      <c r="A10" s="327" t="s">
        <v>19</v>
      </c>
      <c r="B10" s="327" t="s">
        <v>49</v>
      </c>
      <c r="C10" s="327" t="s">
        <v>219</v>
      </c>
      <c r="D10" s="327" t="s">
        <v>23</v>
      </c>
      <c r="E10" s="327"/>
      <c r="F10" s="327"/>
      <c r="G10" s="327"/>
      <c r="H10" s="301"/>
      <c r="I10" s="327" t="s">
        <v>50</v>
      </c>
      <c r="J10" s="327"/>
      <c r="K10" s="327"/>
      <c r="L10" s="327"/>
      <c r="M10" s="327" t="s">
        <v>51</v>
      </c>
    </row>
    <row r="11" spans="1:13" ht="77.25" customHeight="1" x14ac:dyDescent="0.25">
      <c r="A11" s="327"/>
      <c r="B11" s="327"/>
      <c r="C11" s="327"/>
      <c r="D11" s="133" t="s">
        <v>25</v>
      </c>
      <c r="E11" s="133" t="s">
        <v>26</v>
      </c>
      <c r="F11" s="133" t="s">
        <v>27</v>
      </c>
      <c r="G11" s="133" t="s">
        <v>28</v>
      </c>
      <c r="H11" s="301"/>
      <c r="I11" s="291">
        <v>2023</v>
      </c>
      <c r="J11" s="140">
        <f>I11+1</f>
        <v>2024</v>
      </c>
      <c r="K11" s="308">
        <f>J11+1</f>
        <v>2025</v>
      </c>
      <c r="L11" s="133" t="s">
        <v>52</v>
      </c>
      <c r="M11" s="327"/>
    </row>
    <row r="12" spans="1:13" x14ac:dyDescent="0.25">
      <c r="A12" s="133">
        <v>1</v>
      </c>
      <c r="B12" s="133">
        <v>2</v>
      </c>
      <c r="C12" s="133">
        <v>3</v>
      </c>
      <c r="D12" s="133">
        <v>4</v>
      </c>
      <c r="E12" s="133">
        <v>5</v>
      </c>
      <c r="F12" s="133">
        <v>6</v>
      </c>
      <c r="G12" s="133">
        <v>7</v>
      </c>
      <c r="H12" s="301"/>
      <c r="I12" s="290">
        <v>8</v>
      </c>
      <c r="J12" s="133">
        <v>9</v>
      </c>
      <c r="K12" s="133">
        <v>10</v>
      </c>
      <c r="L12" s="133">
        <v>11</v>
      </c>
      <c r="M12" s="133">
        <v>12</v>
      </c>
    </row>
    <row r="13" spans="1:13" s="156" customFormat="1" ht="41.25" customHeight="1" x14ac:dyDescent="0.25">
      <c r="A13" s="343" t="s">
        <v>164</v>
      </c>
      <c r="B13" s="343"/>
      <c r="C13" s="343"/>
      <c r="D13" s="343"/>
      <c r="E13" s="343"/>
      <c r="F13" s="343"/>
      <c r="G13" s="343"/>
      <c r="H13" s="343"/>
      <c r="I13" s="343"/>
      <c r="J13" s="343"/>
      <c r="K13" s="343"/>
      <c r="L13" s="343"/>
      <c r="M13" s="343"/>
    </row>
    <row r="14" spans="1:13" s="156" customFormat="1" ht="19.5" customHeight="1" x14ac:dyDescent="0.25">
      <c r="A14" s="343" t="s">
        <v>165</v>
      </c>
      <c r="B14" s="343"/>
      <c r="C14" s="343"/>
      <c r="D14" s="343"/>
      <c r="E14" s="343"/>
      <c r="F14" s="343"/>
      <c r="G14" s="343"/>
      <c r="H14" s="343"/>
      <c r="I14" s="343"/>
      <c r="J14" s="343"/>
      <c r="K14" s="343"/>
      <c r="L14" s="343"/>
      <c r="M14" s="343"/>
    </row>
    <row r="15" spans="1:13" s="8" customFormat="1" ht="63" x14ac:dyDescent="0.25">
      <c r="A15" s="344" t="s">
        <v>3</v>
      </c>
      <c r="B15" s="334" t="s">
        <v>321</v>
      </c>
      <c r="C15" s="299" t="s">
        <v>66</v>
      </c>
      <c r="D15" s="301">
        <v>247</v>
      </c>
      <c r="E15" s="301" t="s">
        <v>62</v>
      </c>
      <c r="F15" s="59" t="s">
        <v>328</v>
      </c>
      <c r="G15" s="233">
        <v>540</v>
      </c>
      <c r="H15" s="233">
        <v>1</v>
      </c>
      <c r="I15" s="115">
        <v>29634.3</v>
      </c>
      <c r="J15" s="115">
        <v>29634.3</v>
      </c>
      <c r="K15" s="115">
        <v>29634.3</v>
      </c>
      <c r="L15" s="127">
        <f t="shared" ref="L15:L22" si="0">SUM(I15:K15)</f>
        <v>88902.9</v>
      </c>
      <c r="M15" s="332" t="s">
        <v>132</v>
      </c>
    </row>
    <row r="16" spans="1:13" s="8" customFormat="1" x14ac:dyDescent="0.25">
      <c r="A16" s="345"/>
      <c r="B16" s="335"/>
      <c r="C16" s="117" t="s">
        <v>257</v>
      </c>
      <c r="D16" s="56" t="s">
        <v>30</v>
      </c>
      <c r="E16" s="56" t="s">
        <v>30</v>
      </c>
      <c r="F16" s="56" t="s">
        <v>30</v>
      </c>
      <c r="G16" s="52" t="s">
        <v>30</v>
      </c>
      <c r="H16" s="52"/>
      <c r="I16" s="57">
        <f>I15</f>
        <v>29634.3</v>
      </c>
      <c r="J16" s="57">
        <f>J15</f>
        <v>29634.3</v>
      </c>
      <c r="K16" s="57">
        <f>K15</f>
        <v>29634.3</v>
      </c>
      <c r="L16" s="57">
        <f>SUM(I16:K16)</f>
        <v>88902.9</v>
      </c>
      <c r="M16" s="336"/>
    </row>
    <row r="17" spans="1:19" s="8" customFormat="1" ht="63" x14ac:dyDescent="0.25">
      <c r="A17" s="344" t="s">
        <v>83</v>
      </c>
      <c r="B17" s="334" t="s">
        <v>322</v>
      </c>
      <c r="C17" s="299" t="s">
        <v>66</v>
      </c>
      <c r="D17" s="301">
        <v>247</v>
      </c>
      <c r="E17" s="301" t="s">
        <v>62</v>
      </c>
      <c r="F17" s="59" t="s">
        <v>329</v>
      </c>
      <c r="G17" s="233">
        <v>540</v>
      </c>
      <c r="H17" s="233">
        <v>1</v>
      </c>
      <c r="I17" s="115">
        <v>20630.7</v>
      </c>
      <c r="J17" s="115">
        <v>15130.7</v>
      </c>
      <c r="K17" s="115">
        <v>15130.7</v>
      </c>
      <c r="L17" s="127">
        <f>SUM(I17:K17)</f>
        <v>50892.100000000006</v>
      </c>
      <c r="M17" s="336"/>
    </row>
    <row r="18" spans="1:19" s="8" customFormat="1" x14ac:dyDescent="0.25">
      <c r="A18" s="345"/>
      <c r="B18" s="335"/>
      <c r="C18" s="117" t="s">
        <v>257</v>
      </c>
      <c r="D18" s="56" t="s">
        <v>30</v>
      </c>
      <c r="E18" s="56" t="s">
        <v>30</v>
      </c>
      <c r="F18" s="56" t="s">
        <v>30</v>
      </c>
      <c r="G18" s="56" t="s">
        <v>30</v>
      </c>
      <c r="H18" s="56"/>
      <c r="I18" s="57">
        <f>I17</f>
        <v>20630.7</v>
      </c>
      <c r="J18" s="57">
        <f>J17</f>
        <v>15130.7</v>
      </c>
      <c r="K18" s="57">
        <f>K17</f>
        <v>15130.7</v>
      </c>
      <c r="L18" s="57">
        <f>SUM(I18:K18)</f>
        <v>50892.100000000006</v>
      </c>
      <c r="M18" s="333"/>
      <c r="O18" s="8">
        <v>2019</v>
      </c>
      <c r="P18" s="8">
        <v>2020</v>
      </c>
      <c r="Q18" s="8">
        <v>21</v>
      </c>
      <c r="R18" s="8">
        <v>22</v>
      </c>
      <c r="S18" s="8">
        <v>23</v>
      </c>
    </row>
    <row r="19" spans="1:19" s="8" customFormat="1" ht="47.25" customHeight="1" x14ac:dyDescent="0.25">
      <c r="A19" s="332" t="s">
        <v>85</v>
      </c>
      <c r="B19" s="334" t="s">
        <v>106</v>
      </c>
      <c r="C19" s="299" t="s">
        <v>94</v>
      </c>
      <c r="D19" s="301">
        <v>242</v>
      </c>
      <c r="E19" s="327" t="s">
        <v>62</v>
      </c>
      <c r="F19" s="340" t="s">
        <v>259</v>
      </c>
      <c r="G19" s="327">
        <v>244</v>
      </c>
      <c r="H19" s="301">
        <v>1</v>
      </c>
      <c r="I19" s="115">
        <v>1650.83</v>
      </c>
      <c r="J19" s="115">
        <v>1650.83</v>
      </c>
      <c r="K19" s="115">
        <v>1650.83</v>
      </c>
      <c r="L19" s="33">
        <f t="shared" si="0"/>
        <v>4952.49</v>
      </c>
      <c r="M19" s="332" t="s">
        <v>132</v>
      </c>
      <c r="N19" s="8" t="s">
        <v>313</v>
      </c>
      <c r="O19" s="8">
        <v>4174.3</v>
      </c>
      <c r="P19" s="8">
        <v>1650.8</v>
      </c>
      <c r="Q19" s="8">
        <v>1650.8</v>
      </c>
      <c r="R19" s="8">
        <v>1650.8</v>
      </c>
      <c r="S19" s="8">
        <v>1650.8</v>
      </c>
    </row>
    <row r="20" spans="1:19" s="8" customFormat="1" ht="63" x14ac:dyDescent="0.25">
      <c r="A20" s="336"/>
      <c r="B20" s="337"/>
      <c r="C20" s="299" t="s">
        <v>66</v>
      </c>
      <c r="D20" s="301">
        <v>247</v>
      </c>
      <c r="E20" s="327"/>
      <c r="F20" s="341"/>
      <c r="G20" s="327"/>
      <c r="H20" s="301">
        <v>1</v>
      </c>
      <c r="I20" s="115">
        <v>5000</v>
      </c>
      <c r="J20" s="115">
        <v>5000</v>
      </c>
      <c r="K20" s="115">
        <v>5000</v>
      </c>
      <c r="L20" s="127">
        <f>SUM(I20:K20)</f>
        <v>15000</v>
      </c>
      <c r="M20" s="336"/>
      <c r="O20" s="50"/>
    </row>
    <row r="21" spans="1:19" s="8" customFormat="1" x14ac:dyDescent="0.25">
      <c r="A21" s="333"/>
      <c r="B21" s="335"/>
      <c r="C21" s="117" t="s">
        <v>257</v>
      </c>
      <c r="D21" s="56" t="s">
        <v>30</v>
      </c>
      <c r="E21" s="56" t="s">
        <v>30</v>
      </c>
      <c r="F21" s="56" t="s">
        <v>30</v>
      </c>
      <c r="G21" s="56" t="s">
        <v>30</v>
      </c>
      <c r="H21" s="56"/>
      <c r="I21" s="57">
        <f>I19+I20</f>
        <v>6650.83</v>
      </c>
      <c r="J21" s="57">
        <f>J19+J20</f>
        <v>6650.83</v>
      </c>
      <c r="K21" s="57">
        <f>K19+K20</f>
        <v>6650.83</v>
      </c>
      <c r="L21" s="57">
        <f>SUM(I21:K21)</f>
        <v>19952.489999999998</v>
      </c>
      <c r="M21" s="333"/>
      <c r="O21" s="50"/>
    </row>
    <row r="22" spans="1:19" s="10" customFormat="1" ht="70.5" customHeight="1" x14ac:dyDescent="0.25">
      <c r="A22" s="332" t="s">
        <v>86</v>
      </c>
      <c r="B22" s="334" t="s">
        <v>107</v>
      </c>
      <c r="C22" s="299" t="s">
        <v>66</v>
      </c>
      <c r="D22" s="301">
        <v>247</v>
      </c>
      <c r="E22" s="301" t="s">
        <v>62</v>
      </c>
      <c r="F22" s="59" t="s">
        <v>260</v>
      </c>
      <c r="G22" s="301">
        <v>540</v>
      </c>
      <c r="H22" s="301">
        <v>1</v>
      </c>
      <c r="I22" s="115">
        <v>2638.7550000000001</v>
      </c>
      <c r="J22" s="115">
        <v>2638.7550000000001</v>
      </c>
      <c r="K22" s="115">
        <v>2638.7550000000001</v>
      </c>
      <c r="L22" s="127">
        <f t="shared" si="0"/>
        <v>7916.2650000000003</v>
      </c>
      <c r="M22" s="332" t="s">
        <v>131</v>
      </c>
      <c r="O22" s="316" t="e">
        <f>I15+I17+I24</f>
        <v>#VALUE!</v>
      </c>
    </row>
    <row r="23" spans="1:19" s="10" customFormat="1" x14ac:dyDescent="0.25">
      <c r="A23" s="333"/>
      <c r="B23" s="335"/>
      <c r="C23" s="117" t="s">
        <v>257</v>
      </c>
      <c r="D23" s="56" t="s">
        <v>30</v>
      </c>
      <c r="E23" s="56" t="s">
        <v>30</v>
      </c>
      <c r="F23" s="56" t="s">
        <v>30</v>
      </c>
      <c r="G23" s="56" t="s">
        <v>30</v>
      </c>
      <c r="H23" s="56"/>
      <c r="I23" s="57">
        <f>I22</f>
        <v>2638.7550000000001</v>
      </c>
      <c r="J23" s="57">
        <f>J22</f>
        <v>2638.7550000000001</v>
      </c>
      <c r="K23" s="57">
        <f>K22</f>
        <v>2638.7550000000001</v>
      </c>
      <c r="L23" s="57">
        <f>SUM(I23:K23)</f>
        <v>7916.2650000000003</v>
      </c>
      <c r="M23" s="333"/>
      <c r="O23" s="316" t="e">
        <f>I19+I20+I22+I25+I29+I33</f>
        <v>#VALUE!</v>
      </c>
    </row>
    <row r="24" spans="1:19" s="10" customFormat="1" ht="34.5" customHeight="1" x14ac:dyDescent="0.25">
      <c r="A24" s="332" t="s">
        <v>238</v>
      </c>
      <c r="B24" s="334" t="s">
        <v>265</v>
      </c>
      <c r="C24" s="334" t="s">
        <v>66</v>
      </c>
      <c r="D24" s="332">
        <v>247</v>
      </c>
      <c r="E24" s="332" t="s">
        <v>62</v>
      </c>
      <c r="F24" s="59" t="s">
        <v>266</v>
      </c>
      <c r="G24" s="332">
        <v>244</v>
      </c>
      <c r="H24" s="302"/>
      <c r="I24" s="128" t="s">
        <v>316</v>
      </c>
      <c r="J24" s="128">
        <v>0</v>
      </c>
      <c r="K24" s="128">
        <v>0</v>
      </c>
      <c r="L24" s="128">
        <f t="shared" ref="L24:L27" si="1">SUM(I24:K24)</f>
        <v>0</v>
      </c>
      <c r="M24" s="332" t="s">
        <v>132</v>
      </c>
      <c r="O24" s="316" t="e">
        <f>O23+O22</f>
        <v>#VALUE!</v>
      </c>
    </row>
    <row r="25" spans="1:19" s="10" customFormat="1" ht="34.5" customHeight="1" x14ac:dyDescent="0.25">
      <c r="A25" s="336"/>
      <c r="B25" s="337"/>
      <c r="C25" s="337"/>
      <c r="D25" s="336"/>
      <c r="E25" s="336"/>
      <c r="F25" s="59" t="s">
        <v>267</v>
      </c>
      <c r="G25" s="336"/>
      <c r="H25" s="304"/>
      <c r="I25" s="128" t="s">
        <v>316</v>
      </c>
      <c r="J25" s="128">
        <v>0</v>
      </c>
      <c r="K25" s="128">
        <v>0</v>
      </c>
      <c r="L25" s="128">
        <f t="shared" si="1"/>
        <v>0</v>
      </c>
      <c r="M25" s="336"/>
    </row>
    <row r="26" spans="1:19" s="10" customFormat="1" ht="34.5" customHeight="1" x14ac:dyDescent="0.25">
      <c r="A26" s="336"/>
      <c r="B26" s="337"/>
      <c r="C26" s="337"/>
      <c r="D26" s="336"/>
      <c r="E26" s="336"/>
      <c r="F26" s="59" t="s">
        <v>318</v>
      </c>
      <c r="G26" s="336"/>
      <c r="H26" s="304">
        <v>10</v>
      </c>
      <c r="I26" s="128">
        <v>0</v>
      </c>
      <c r="J26" s="128">
        <v>0</v>
      </c>
      <c r="K26" s="128">
        <v>0</v>
      </c>
      <c r="L26" s="128">
        <f t="shared" si="1"/>
        <v>0</v>
      </c>
      <c r="M26" s="336"/>
    </row>
    <row r="27" spans="1:19" s="10" customFormat="1" ht="34.5" customHeight="1" x14ac:dyDescent="0.25">
      <c r="A27" s="336"/>
      <c r="B27" s="337"/>
      <c r="C27" s="335"/>
      <c r="D27" s="333"/>
      <c r="E27" s="333"/>
      <c r="F27" s="59" t="s">
        <v>317</v>
      </c>
      <c r="G27" s="333"/>
      <c r="H27" s="303">
        <v>1</v>
      </c>
      <c r="I27" s="128">
        <v>0</v>
      </c>
      <c r="J27" s="128"/>
      <c r="K27" s="128"/>
      <c r="L27" s="128">
        <f t="shared" si="1"/>
        <v>0</v>
      </c>
      <c r="M27" s="336"/>
    </row>
    <row r="28" spans="1:19" s="10" customFormat="1" x14ac:dyDescent="0.25">
      <c r="A28" s="333"/>
      <c r="B28" s="335"/>
      <c r="C28" s="117" t="s">
        <v>257</v>
      </c>
      <c r="D28" s="56" t="s">
        <v>30</v>
      </c>
      <c r="E28" s="56" t="s">
        <v>30</v>
      </c>
      <c r="F28" s="56" t="s">
        <v>30</v>
      </c>
      <c r="G28" s="56" t="s">
        <v>30</v>
      </c>
      <c r="H28" s="56"/>
      <c r="I28" s="57">
        <f>SUM(I24:I27)</f>
        <v>0</v>
      </c>
      <c r="J28" s="57">
        <f t="shared" ref="J28:K28" si="2">SUM(J24:J25)</f>
        <v>0</v>
      </c>
      <c r="K28" s="57">
        <f t="shared" si="2"/>
        <v>0</v>
      </c>
      <c r="L28" s="57">
        <f>SUM(L24:L27)</f>
        <v>0</v>
      </c>
      <c r="M28" s="333"/>
    </row>
    <row r="29" spans="1:19" s="10" customFormat="1" ht="71.25" customHeight="1" x14ac:dyDescent="0.25">
      <c r="A29" s="332" t="s">
        <v>256</v>
      </c>
      <c r="B29" s="334" t="s">
        <v>264</v>
      </c>
      <c r="C29" s="299" t="s">
        <v>66</v>
      </c>
      <c r="D29" s="301">
        <v>247</v>
      </c>
      <c r="E29" s="301" t="s">
        <v>62</v>
      </c>
      <c r="F29" s="59" t="s">
        <v>261</v>
      </c>
      <c r="G29" s="301">
        <v>244</v>
      </c>
      <c r="H29" s="301">
        <v>1</v>
      </c>
      <c r="I29" s="115">
        <v>32350</v>
      </c>
      <c r="J29" s="115">
        <v>32350</v>
      </c>
      <c r="K29" s="115">
        <v>32350</v>
      </c>
      <c r="L29" s="127">
        <f t="shared" ref="L29" si="3">SUM(I29:K29)</f>
        <v>97050</v>
      </c>
      <c r="M29" s="332" t="s">
        <v>258</v>
      </c>
    </row>
    <row r="30" spans="1:19" s="10" customFormat="1" x14ac:dyDescent="0.25">
      <c r="A30" s="333"/>
      <c r="B30" s="335"/>
      <c r="C30" s="117" t="s">
        <v>257</v>
      </c>
      <c r="D30" s="56" t="s">
        <v>30</v>
      </c>
      <c r="E30" s="56" t="s">
        <v>30</v>
      </c>
      <c r="F30" s="56" t="s">
        <v>30</v>
      </c>
      <c r="G30" s="56" t="s">
        <v>30</v>
      </c>
      <c r="H30" s="56"/>
      <c r="I30" s="57">
        <f>I29</f>
        <v>32350</v>
      </c>
      <c r="J30" s="57">
        <f>J29</f>
        <v>32350</v>
      </c>
      <c r="K30" s="57">
        <f>K29</f>
        <v>32350</v>
      </c>
      <c r="L30" s="57">
        <f>SUM(I30:K30)</f>
        <v>97050</v>
      </c>
      <c r="M30" s="333"/>
    </row>
    <row r="31" spans="1:19" s="10" customFormat="1" ht="69.75" customHeight="1" outlineLevel="1" x14ac:dyDescent="0.25">
      <c r="A31" s="332" t="s">
        <v>263</v>
      </c>
      <c r="B31" s="334" t="s">
        <v>262</v>
      </c>
      <c r="C31" s="299" t="s">
        <v>66</v>
      </c>
      <c r="D31" s="301">
        <v>247</v>
      </c>
      <c r="E31" s="301" t="s">
        <v>62</v>
      </c>
      <c r="F31" s="119"/>
      <c r="G31" s="301">
        <v>244</v>
      </c>
      <c r="H31" s="301"/>
      <c r="I31" s="32">
        <v>0</v>
      </c>
      <c r="J31" s="32">
        <v>0</v>
      </c>
      <c r="K31" s="32">
        <v>0</v>
      </c>
      <c r="L31" s="33">
        <f t="shared" ref="L31:L32" si="4">SUM(I31:K31)</f>
        <v>0</v>
      </c>
      <c r="M31" s="303"/>
    </row>
    <row r="32" spans="1:19" s="10" customFormat="1" outlineLevel="1" x14ac:dyDescent="0.25">
      <c r="A32" s="333"/>
      <c r="B32" s="335"/>
      <c r="C32" s="117" t="s">
        <v>257</v>
      </c>
      <c r="D32" s="56" t="s">
        <v>30</v>
      </c>
      <c r="E32" s="56" t="s">
        <v>30</v>
      </c>
      <c r="F32" s="56" t="s">
        <v>30</v>
      </c>
      <c r="G32" s="56" t="s">
        <v>30</v>
      </c>
      <c r="H32" s="56"/>
      <c r="I32" s="57">
        <f t="shared" ref="I32:K32" si="5">I31</f>
        <v>0</v>
      </c>
      <c r="J32" s="57">
        <f t="shared" si="5"/>
        <v>0</v>
      </c>
      <c r="K32" s="57">
        <f t="shared" si="5"/>
        <v>0</v>
      </c>
      <c r="L32" s="57">
        <f t="shared" si="4"/>
        <v>0</v>
      </c>
      <c r="M32" s="303"/>
    </row>
    <row r="33" spans="1:13" s="10" customFormat="1" ht="63" customHeight="1" outlineLevel="1" x14ac:dyDescent="0.25">
      <c r="A33" s="303" t="s">
        <v>286</v>
      </c>
      <c r="B33" s="118" t="s">
        <v>291</v>
      </c>
      <c r="C33" s="207" t="s">
        <v>66</v>
      </c>
      <c r="D33" s="119" t="s">
        <v>285</v>
      </c>
      <c r="E33" s="119" t="s">
        <v>62</v>
      </c>
      <c r="F33" s="119" t="s">
        <v>292</v>
      </c>
      <c r="G33" s="119" t="s">
        <v>283</v>
      </c>
      <c r="H33" s="119" t="s">
        <v>374</v>
      </c>
      <c r="I33" s="115">
        <v>1600</v>
      </c>
      <c r="J33" s="115">
        <v>1600</v>
      </c>
      <c r="K33" s="115">
        <v>1600</v>
      </c>
      <c r="L33" s="115">
        <f>I33+J33+K33</f>
        <v>4800</v>
      </c>
      <c r="M33" s="303"/>
    </row>
    <row r="34" spans="1:13" s="158" customFormat="1" outlineLevel="1" x14ac:dyDescent="0.25">
      <c r="A34" s="134"/>
      <c r="B34" s="135"/>
      <c r="C34" s="56" t="s">
        <v>257</v>
      </c>
      <c r="D34" s="56" t="s">
        <v>30</v>
      </c>
      <c r="E34" s="56" t="s">
        <v>30</v>
      </c>
      <c r="F34" s="56" t="s">
        <v>30</v>
      </c>
      <c r="G34" s="56" t="s">
        <v>30</v>
      </c>
      <c r="H34" s="56"/>
      <c r="I34" s="57">
        <f>I33</f>
        <v>1600</v>
      </c>
      <c r="J34" s="57">
        <f>J33</f>
        <v>1600</v>
      </c>
      <c r="K34" s="57">
        <f>K33</f>
        <v>1600</v>
      </c>
      <c r="L34" s="57">
        <f>SUM(I34:K34)</f>
        <v>4800</v>
      </c>
      <c r="M34" s="159"/>
    </row>
    <row r="35" spans="1:13" s="161" customFormat="1" x14ac:dyDescent="0.25">
      <c r="A35" s="53"/>
      <c r="B35" s="54" t="s">
        <v>118</v>
      </c>
      <c r="C35" s="53" t="s">
        <v>30</v>
      </c>
      <c r="D35" s="53" t="s">
        <v>30</v>
      </c>
      <c r="E35" s="53" t="s">
        <v>30</v>
      </c>
      <c r="F35" s="53" t="s">
        <v>30</v>
      </c>
      <c r="G35" s="53" t="s">
        <v>30</v>
      </c>
      <c r="H35" s="53"/>
      <c r="I35" s="55">
        <f>I16+I18+I21+I23+I30+I34+I28</f>
        <v>93504.584999999992</v>
      </c>
      <c r="J35" s="55">
        <f>J16+J18+J21+J23+J28+J30+J32+J34</f>
        <v>88004.584999999992</v>
      </c>
      <c r="K35" s="55">
        <f>K16+K18+K21+K23+K28+K30+K32+K34</f>
        <v>88004.584999999992</v>
      </c>
      <c r="L35" s="55">
        <f>L16+L18+L21+L23+L28+L30+L32+L34</f>
        <v>269513.755</v>
      </c>
      <c r="M35" s="53" t="s">
        <v>30</v>
      </c>
    </row>
    <row r="36" spans="1:13" s="158" customFormat="1" x14ac:dyDescent="0.25">
      <c r="A36" s="162"/>
      <c r="I36" s="10"/>
    </row>
    <row r="37" spans="1:13" x14ac:dyDescent="0.25">
      <c r="I37" s="234">
        <f>I16+I21+I23+I30</f>
        <v>71273.884999999995</v>
      </c>
    </row>
    <row r="38" spans="1:13" x14ac:dyDescent="0.25">
      <c r="I38" s="234">
        <f>60677.285-I35</f>
        <v>-32827.299999999988</v>
      </c>
    </row>
    <row r="40" spans="1:13" x14ac:dyDescent="0.25">
      <c r="I40" s="14"/>
      <c r="J40" s="163"/>
      <c r="K40" s="163"/>
      <c r="L40" s="163"/>
    </row>
    <row r="41" spans="1:13" x14ac:dyDescent="0.25">
      <c r="I41" s="14"/>
      <c r="J41" s="163"/>
      <c r="K41" s="163"/>
      <c r="L41" s="163"/>
    </row>
    <row r="42" spans="1:13" x14ac:dyDescent="0.25">
      <c r="I42" s="14"/>
      <c r="J42" s="163"/>
      <c r="K42" s="163"/>
      <c r="L42" s="163"/>
    </row>
    <row r="43" spans="1:13" x14ac:dyDescent="0.25">
      <c r="I43" s="14"/>
      <c r="J43" s="163"/>
      <c r="K43" s="163"/>
      <c r="L43" s="163"/>
    </row>
    <row r="44" spans="1:13" x14ac:dyDescent="0.25">
      <c r="I44" s="235"/>
      <c r="J44" s="164"/>
      <c r="K44" s="164"/>
      <c r="L44" s="164"/>
    </row>
    <row r="45" spans="1:13" x14ac:dyDescent="0.25">
      <c r="I45" s="14"/>
      <c r="J45" s="163"/>
      <c r="K45" s="163"/>
      <c r="L45" s="163"/>
    </row>
    <row r="46" spans="1:13" x14ac:dyDescent="0.25">
      <c r="I46" s="14"/>
      <c r="J46" s="163"/>
      <c r="K46" s="163"/>
      <c r="L46" s="163"/>
    </row>
    <row r="47" spans="1:13" x14ac:dyDescent="0.25">
      <c r="I47" s="14"/>
      <c r="J47" s="163"/>
      <c r="K47" s="163"/>
      <c r="L47" s="163"/>
    </row>
  </sheetData>
  <mergeCells count="38">
    <mergeCell ref="M19:M21"/>
    <mergeCell ref="M22:M23"/>
    <mergeCell ref="B19:B21"/>
    <mergeCell ref="A19:A21"/>
    <mergeCell ref="B22:B23"/>
    <mergeCell ref="A22:A23"/>
    <mergeCell ref="M10:M11"/>
    <mergeCell ref="A14:M14"/>
    <mergeCell ref="A13:M13"/>
    <mergeCell ref="B15:B16"/>
    <mergeCell ref="A15:A16"/>
    <mergeCell ref="M15:M18"/>
    <mergeCell ref="B17:B18"/>
    <mergeCell ref="A17:A18"/>
    <mergeCell ref="M29:M30"/>
    <mergeCell ref="A24:A28"/>
    <mergeCell ref="B24:B28"/>
    <mergeCell ref="M24:M28"/>
    <mergeCell ref="L1:M1"/>
    <mergeCell ref="L4:M4"/>
    <mergeCell ref="G19:G20"/>
    <mergeCell ref="E19:E20"/>
    <mergeCell ref="F19:F20"/>
    <mergeCell ref="A7:M7"/>
    <mergeCell ref="A8:M8"/>
    <mergeCell ref="A10:A11"/>
    <mergeCell ref="B10:B11"/>
    <mergeCell ref="C10:C11"/>
    <mergeCell ref="D10:G10"/>
    <mergeCell ref="I10:L10"/>
    <mergeCell ref="A31:A32"/>
    <mergeCell ref="B31:B32"/>
    <mergeCell ref="A29:A30"/>
    <mergeCell ref="B29:B30"/>
    <mergeCell ref="G24:G27"/>
    <mergeCell ref="D24:D27"/>
    <mergeCell ref="E24:E27"/>
    <mergeCell ref="C24:C27"/>
  </mergeCells>
  <pageMargins left="0.78740157480314965" right="0.78740157480314965" top="1.1811023622047245" bottom="0.39370078740157483" header="0.31496062992125984" footer="0.31496062992125984"/>
  <pageSetup paperSize="9" scale="55" fitToHeight="0" orientation="landscape" r:id="rId1"/>
  <rowBreaks count="1" manualBreakCount="1">
    <brk id="23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H31"/>
  <sheetViews>
    <sheetView view="pageBreakPreview" topLeftCell="A4" zoomScaleNormal="70" zoomScaleSheetLayoutView="100" workbookViewId="0">
      <selection activeCell="E18" sqref="E18"/>
    </sheetView>
  </sheetViews>
  <sheetFormatPr defaultColWidth="9" defaultRowHeight="15.75" outlineLevelRow="1" x14ac:dyDescent="0.25"/>
  <cols>
    <col min="1" max="1" width="5.375" style="141" customWidth="1"/>
    <col min="2" max="2" width="55.875" style="142" customWidth="1"/>
    <col min="3" max="3" width="12.75" style="141" customWidth="1"/>
    <col min="4" max="4" width="25.375" style="142" customWidth="1"/>
    <col min="5" max="5" width="13.875" style="142" customWidth="1"/>
    <col min="6" max="8" width="12.25" style="142" customWidth="1"/>
    <col min="9" max="16384" width="9" style="142"/>
  </cols>
  <sheetData>
    <row r="1" spans="1:8" ht="81.75" hidden="1" customHeight="1" outlineLevel="1" x14ac:dyDescent="0.25">
      <c r="E1" s="353" t="s">
        <v>337</v>
      </c>
      <c r="F1" s="353"/>
      <c r="G1" s="353"/>
      <c r="H1" s="353"/>
    </row>
    <row r="2" spans="1:8" ht="18.75" hidden="1" outlineLevel="1" x14ac:dyDescent="0.3">
      <c r="E2" s="189"/>
      <c r="F2" s="189"/>
      <c r="G2" s="189"/>
      <c r="H2" s="189"/>
    </row>
    <row r="3" spans="1:8" ht="18.75" hidden="1" outlineLevel="1" x14ac:dyDescent="0.3">
      <c r="E3" s="189"/>
      <c r="F3" s="189"/>
      <c r="G3" s="189"/>
      <c r="H3" s="189"/>
    </row>
    <row r="4" spans="1:8" s="1" customFormat="1" ht="75" customHeight="1" collapsed="1" x14ac:dyDescent="0.25">
      <c r="A4" s="2"/>
      <c r="C4" s="2"/>
      <c r="E4" s="318" t="s">
        <v>200</v>
      </c>
      <c r="F4" s="318"/>
      <c r="G4" s="318"/>
      <c r="H4" s="318"/>
    </row>
    <row r="5" spans="1:8" s="1" customFormat="1" ht="18.75" x14ac:dyDescent="0.25">
      <c r="A5" s="220"/>
      <c r="C5" s="2"/>
    </row>
    <row r="6" spans="1:8" s="1" customFormat="1" ht="18.75" x14ac:dyDescent="0.25">
      <c r="A6" s="220"/>
      <c r="C6" s="2"/>
    </row>
    <row r="7" spans="1:8" s="1" customFormat="1" ht="18.75" x14ac:dyDescent="0.25">
      <c r="A7" s="320" t="s">
        <v>1</v>
      </c>
      <c r="B7" s="320"/>
      <c r="C7" s="320"/>
      <c r="D7" s="320"/>
      <c r="E7" s="320"/>
      <c r="F7" s="320"/>
      <c r="G7" s="320"/>
      <c r="H7" s="320"/>
    </row>
    <row r="8" spans="1:8" s="1" customFormat="1" ht="48" customHeight="1" x14ac:dyDescent="0.25">
      <c r="A8" s="331" t="s">
        <v>76</v>
      </c>
      <c r="B8" s="320"/>
      <c r="C8" s="320"/>
      <c r="D8" s="320"/>
      <c r="E8" s="320"/>
      <c r="F8" s="320"/>
      <c r="G8" s="320"/>
      <c r="H8" s="320"/>
    </row>
    <row r="9" spans="1:8" s="1" customFormat="1" ht="17.25" x14ac:dyDescent="0.25">
      <c r="A9" s="270"/>
      <c r="B9" s="271"/>
      <c r="C9" s="272"/>
      <c r="D9" s="271"/>
      <c r="E9" s="271"/>
      <c r="F9" s="271"/>
      <c r="G9" s="271"/>
      <c r="H9" s="271"/>
    </row>
    <row r="10" spans="1:8" s="1" customFormat="1" ht="17.25" customHeight="1" x14ac:dyDescent="0.25">
      <c r="A10" s="360" t="s">
        <v>19</v>
      </c>
      <c r="B10" s="360" t="s">
        <v>46</v>
      </c>
      <c r="C10" s="360" t="s">
        <v>2</v>
      </c>
      <c r="D10" s="360" t="s">
        <v>47</v>
      </c>
      <c r="E10" s="360" t="s">
        <v>48</v>
      </c>
      <c r="F10" s="360"/>
      <c r="G10" s="360"/>
      <c r="H10" s="360"/>
    </row>
    <row r="11" spans="1:8" s="1" customFormat="1" ht="17.25" x14ac:dyDescent="0.25">
      <c r="A11" s="360"/>
      <c r="B11" s="360"/>
      <c r="C11" s="360"/>
      <c r="D11" s="360"/>
      <c r="E11" s="305">
        <v>2023</v>
      </c>
      <c r="F11" s="305">
        <f>E11+1</f>
        <v>2024</v>
      </c>
      <c r="G11" s="305">
        <f>F11+1</f>
        <v>2025</v>
      </c>
      <c r="H11" s="305">
        <f>G11+1</f>
        <v>2026</v>
      </c>
    </row>
    <row r="12" spans="1:8" s="1" customFormat="1" ht="17.25" x14ac:dyDescent="0.25">
      <c r="A12" s="305">
        <v>1</v>
      </c>
      <c r="B12" s="305">
        <v>2</v>
      </c>
      <c r="C12" s="305">
        <v>3</v>
      </c>
      <c r="D12" s="305">
        <v>4</v>
      </c>
      <c r="E12" s="305">
        <v>5</v>
      </c>
      <c r="F12" s="305">
        <v>6</v>
      </c>
      <c r="G12" s="305">
        <v>7</v>
      </c>
      <c r="H12" s="305">
        <v>8</v>
      </c>
    </row>
    <row r="13" spans="1:8" s="1" customFormat="1" ht="17.25" customHeight="1" x14ac:dyDescent="0.25">
      <c r="A13" s="350" t="str">
        <f>'[1]пр к ПП2'!A13:L13</f>
        <v>Цель. Удовлетворение потребности населения в перевозках.</v>
      </c>
      <c r="B13" s="351"/>
      <c r="C13" s="351"/>
      <c r="D13" s="351"/>
      <c r="E13" s="351"/>
      <c r="F13" s="351"/>
      <c r="G13" s="351"/>
      <c r="H13" s="352"/>
    </row>
    <row r="14" spans="1:8" s="1" customFormat="1" ht="33" customHeight="1" x14ac:dyDescent="0.25">
      <c r="A14" s="350" t="str">
        <f>'[1]пр к ПП2'!A14:L14</f>
        <v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v>
      </c>
      <c r="B14" s="351"/>
      <c r="C14" s="351"/>
      <c r="D14" s="351"/>
      <c r="E14" s="351"/>
      <c r="F14" s="351"/>
      <c r="G14" s="351"/>
      <c r="H14" s="352"/>
    </row>
    <row r="15" spans="1:8" ht="51.75" x14ac:dyDescent="0.25">
      <c r="A15" s="305" t="s">
        <v>3</v>
      </c>
      <c r="B15" s="273" t="s">
        <v>135</v>
      </c>
      <c r="C15" s="305" t="s">
        <v>77</v>
      </c>
      <c r="D15" s="305" t="s">
        <v>78</v>
      </c>
      <c r="E15" s="274">
        <v>5.9640000000000004</v>
      </c>
      <c r="F15" s="274">
        <f>E15+5%</f>
        <v>6.0140000000000002</v>
      </c>
      <c r="G15" s="274">
        <f t="shared" ref="G15:H16" si="0">F15+5%</f>
        <v>6.0640000000000001</v>
      </c>
      <c r="H15" s="274">
        <f t="shared" si="0"/>
        <v>6.1139999999999999</v>
      </c>
    </row>
    <row r="16" spans="1:8" ht="51.75" x14ac:dyDescent="0.25">
      <c r="A16" s="305" t="s">
        <v>83</v>
      </c>
      <c r="B16" s="273" t="s">
        <v>136</v>
      </c>
      <c r="C16" s="305" t="s">
        <v>79</v>
      </c>
      <c r="D16" s="305" t="s">
        <v>78</v>
      </c>
      <c r="E16" s="274">
        <v>220.23599999999999</v>
      </c>
      <c r="F16" s="274">
        <f>E16+5%</f>
        <v>220.286</v>
      </c>
      <c r="G16" s="274">
        <f t="shared" si="0"/>
        <v>220.33600000000001</v>
      </c>
      <c r="H16" s="274">
        <f t="shared" si="0"/>
        <v>220.38600000000002</v>
      </c>
    </row>
    <row r="17" spans="1:8" ht="17.25" customHeight="1" x14ac:dyDescent="0.25">
      <c r="A17" s="347" t="str">
        <f>'[1]пр к ПП2'!A21:L21</f>
        <v>Задача 2. Создание безопасных условии для перевозок  на территории района</v>
      </c>
      <c r="B17" s="348"/>
      <c r="C17" s="348"/>
      <c r="D17" s="348"/>
      <c r="E17" s="348"/>
      <c r="F17" s="348"/>
      <c r="G17" s="348"/>
      <c r="H17" s="349"/>
    </row>
    <row r="18" spans="1:8" ht="51.75" x14ac:dyDescent="0.25">
      <c r="A18" s="305" t="s">
        <v>84</v>
      </c>
      <c r="B18" s="280" t="s">
        <v>208</v>
      </c>
      <c r="C18" s="305" t="s">
        <v>349</v>
      </c>
      <c r="D18" s="305" t="s">
        <v>78</v>
      </c>
      <c r="E18" s="277">
        <v>1</v>
      </c>
      <c r="F18" s="277">
        <v>1</v>
      </c>
      <c r="G18" s="277">
        <v>1</v>
      </c>
      <c r="H18" s="277">
        <v>1</v>
      </c>
    </row>
    <row r="19" spans="1:8" ht="86.25" x14ac:dyDescent="0.25">
      <c r="A19" s="305" t="s">
        <v>277</v>
      </c>
      <c r="B19" s="280" t="s">
        <v>253</v>
      </c>
      <c r="C19" s="305" t="s">
        <v>349</v>
      </c>
      <c r="D19" s="305" t="s">
        <v>78</v>
      </c>
      <c r="E19" s="277">
        <v>1</v>
      </c>
      <c r="F19" s="277">
        <v>1</v>
      </c>
      <c r="G19" s="277">
        <v>1</v>
      </c>
      <c r="H19" s="277">
        <v>1</v>
      </c>
    </row>
    <row r="20" spans="1:8" ht="17.25" customHeight="1" x14ac:dyDescent="0.25">
      <c r="A20" s="347" t="str">
        <f>'[1]пр к ПП2'!A26:L26</f>
        <v>Задача 3. Расходы на транспортировку тел умерших из населенных пунктов Туруханского района</v>
      </c>
      <c r="B20" s="348"/>
      <c r="C20" s="348"/>
      <c r="D20" s="348"/>
      <c r="E20" s="348"/>
      <c r="F20" s="348"/>
      <c r="G20" s="348"/>
      <c r="H20" s="349"/>
    </row>
    <row r="21" spans="1:8" ht="51.75" x14ac:dyDescent="0.25">
      <c r="A21" s="305" t="s">
        <v>115</v>
      </c>
      <c r="B21" s="280" t="s">
        <v>279</v>
      </c>
      <c r="C21" s="305" t="s">
        <v>349</v>
      </c>
      <c r="D21" s="305" t="s">
        <v>78</v>
      </c>
      <c r="E21" s="278">
        <v>1</v>
      </c>
      <c r="F21" s="277">
        <v>1</v>
      </c>
      <c r="G21" s="277">
        <v>1</v>
      </c>
      <c r="H21" s="277">
        <v>1</v>
      </c>
    </row>
    <row r="22" spans="1:8" ht="17.25" customHeight="1" x14ac:dyDescent="0.25">
      <c r="A22" s="357" t="str">
        <f>'[1]пр к ПП2'!A29:L29</f>
        <v>Отдельное мероприятие. Задача 4. Содержание улично-дорожной сети</v>
      </c>
      <c r="B22" s="358"/>
      <c r="C22" s="358"/>
      <c r="D22" s="358"/>
      <c r="E22" s="358"/>
      <c r="F22" s="358"/>
      <c r="G22" s="358"/>
      <c r="H22" s="359"/>
    </row>
    <row r="23" spans="1:8" ht="69" x14ac:dyDescent="0.25">
      <c r="A23" s="275" t="s">
        <v>116</v>
      </c>
      <c r="B23" s="276" t="s">
        <v>333</v>
      </c>
      <c r="C23" s="275" t="s">
        <v>287</v>
      </c>
      <c r="D23" s="275" t="s">
        <v>288</v>
      </c>
      <c r="E23" s="278">
        <v>1</v>
      </c>
      <c r="F23" s="278" t="s">
        <v>316</v>
      </c>
      <c r="G23" s="279" t="s">
        <v>316</v>
      </c>
      <c r="H23" s="279" t="str">
        <f t="shared" ref="H23" si="1">G23</f>
        <v>-</v>
      </c>
    </row>
    <row r="24" spans="1:8" ht="17.25" customHeight="1" x14ac:dyDescent="0.25">
      <c r="A24" s="354" t="str">
        <f>'[1]пр к ПП2'!A32:L32</f>
        <v>Отдельное мероприятие. Задача 5. Улучшение качества оказания услуг по перевозке пасажиров</v>
      </c>
      <c r="B24" s="355"/>
      <c r="C24" s="355"/>
      <c r="D24" s="355"/>
      <c r="E24" s="355"/>
      <c r="F24" s="355"/>
      <c r="G24" s="355"/>
      <c r="H24" s="356"/>
    </row>
    <row r="25" spans="1:8" ht="59.25" customHeight="1" x14ac:dyDescent="0.25">
      <c r="A25" s="275" t="s">
        <v>293</v>
      </c>
      <c r="B25" s="276" t="s">
        <v>336</v>
      </c>
      <c r="C25" s="275" t="s">
        <v>287</v>
      </c>
      <c r="D25" s="275" t="s">
        <v>288</v>
      </c>
      <c r="E25" s="311" t="s">
        <v>316</v>
      </c>
      <c r="F25" s="279" t="s">
        <v>316</v>
      </c>
      <c r="G25" s="279" t="s">
        <v>316</v>
      </c>
      <c r="H25" s="279" t="s">
        <v>316</v>
      </c>
    </row>
    <row r="26" spans="1:8" ht="17.25" customHeight="1" x14ac:dyDescent="0.25">
      <c r="A26" s="357" t="str">
        <f>'[1]пр к ПП2'!A35:L35</f>
        <v>Отдельное мероприятие. Задача 6. Улучшение качества содержания улично-дорожной сети</v>
      </c>
      <c r="B26" s="358"/>
      <c r="C26" s="358"/>
      <c r="D26" s="358"/>
      <c r="E26" s="358"/>
      <c r="F26" s="358"/>
      <c r="G26" s="358"/>
      <c r="H26" s="359"/>
    </row>
    <row r="27" spans="1:8" ht="55.5" customHeight="1" x14ac:dyDescent="0.25">
      <c r="A27" s="275" t="s">
        <v>296</v>
      </c>
      <c r="B27" s="276" t="s">
        <v>330</v>
      </c>
      <c r="C27" s="275" t="s">
        <v>287</v>
      </c>
      <c r="D27" s="275" t="s">
        <v>288</v>
      </c>
      <c r="E27" s="278" t="s">
        <v>316</v>
      </c>
      <c r="F27" s="278" t="s">
        <v>316</v>
      </c>
      <c r="G27" s="279" t="s">
        <v>316</v>
      </c>
      <c r="H27" s="279" t="str">
        <f t="shared" ref="H27" si="2">G27</f>
        <v>-</v>
      </c>
    </row>
    <row r="28" spans="1:8" ht="17.25" x14ac:dyDescent="0.25">
      <c r="A28" s="346" t="str">
        <f>'[1]пр к ПП2'!A38:K38</f>
        <v>Отдельное мероприятие. Задача 7. Оказание услуг по проверке технического состояния автотранспортных средств</v>
      </c>
      <c r="B28" s="346"/>
      <c r="C28" s="346"/>
      <c r="D28" s="346"/>
      <c r="E28" s="346"/>
      <c r="F28" s="346"/>
      <c r="G28" s="346"/>
      <c r="H28" s="346"/>
    </row>
    <row r="29" spans="1:8" s="283" customFormat="1" ht="69" x14ac:dyDescent="0.25">
      <c r="A29" s="281" t="s">
        <v>335</v>
      </c>
      <c r="B29" s="273" t="s">
        <v>354</v>
      </c>
      <c r="C29" s="281" t="s">
        <v>287</v>
      </c>
      <c r="D29" s="275" t="s">
        <v>288</v>
      </c>
      <c r="E29" s="286" t="s">
        <v>316</v>
      </c>
      <c r="F29" s="286" t="s">
        <v>316</v>
      </c>
      <c r="G29" s="282" t="s">
        <v>316</v>
      </c>
      <c r="H29" s="282" t="s">
        <v>316</v>
      </c>
    </row>
    <row r="30" spans="1:8" ht="17.25" x14ac:dyDescent="0.25">
      <c r="A30" s="346" t="s">
        <v>357</v>
      </c>
      <c r="B30" s="346"/>
      <c r="C30" s="346"/>
      <c r="D30" s="346"/>
      <c r="E30" s="346"/>
      <c r="F30" s="346"/>
      <c r="G30" s="346"/>
      <c r="H30" s="346"/>
    </row>
    <row r="31" spans="1:8" ht="51.75" x14ac:dyDescent="0.25">
      <c r="A31" s="281" t="s">
        <v>358</v>
      </c>
      <c r="B31" s="273" t="s">
        <v>359</v>
      </c>
      <c r="C31" s="305" t="s">
        <v>349</v>
      </c>
      <c r="D31" s="275" t="s">
        <v>78</v>
      </c>
      <c r="E31" s="286" t="s">
        <v>316</v>
      </c>
      <c r="F31" s="286" t="s">
        <v>316</v>
      </c>
      <c r="G31" s="282" t="s">
        <v>316</v>
      </c>
      <c r="H31" s="282" t="s">
        <v>316</v>
      </c>
    </row>
  </sheetData>
  <mergeCells count="18">
    <mergeCell ref="E4:H4"/>
    <mergeCell ref="E1:H1"/>
    <mergeCell ref="A24:H24"/>
    <mergeCell ref="A22:H22"/>
    <mergeCell ref="A26:H26"/>
    <mergeCell ref="A7:H7"/>
    <mergeCell ref="A8:H8"/>
    <mergeCell ref="A10:A11"/>
    <mergeCell ref="B10:B11"/>
    <mergeCell ref="C10:C11"/>
    <mergeCell ref="D10:D11"/>
    <mergeCell ref="E10:H10"/>
    <mergeCell ref="A30:H30"/>
    <mergeCell ref="A28:H28"/>
    <mergeCell ref="A20:H20"/>
    <mergeCell ref="A17:H17"/>
    <mergeCell ref="A13:H13"/>
    <mergeCell ref="A14:H14"/>
  </mergeCells>
  <pageMargins left="0.78740157480314965" right="0.78740157480314965" top="1.1811023622047245" bottom="0.39370078740157483" header="0.31496062992125984" footer="0.31496062992125984"/>
  <pageSetup paperSize="9" scale="80" fitToHeight="0" orientation="landscape" r:id="rId1"/>
  <rowBreaks count="1" manualBreakCount="1">
    <brk id="19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T54"/>
  <sheetViews>
    <sheetView view="pageBreakPreview" topLeftCell="A12" zoomScale="85" zoomScaleNormal="70" zoomScaleSheetLayoutView="85" workbookViewId="0">
      <selection activeCell="K45" sqref="K45"/>
    </sheetView>
  </sheetViews>
  <sheetFormatPr defaultColWidth="9" defaultRowHeight="18.75" outlineLevelRow="1" x14ac:dyDescent="0.25"/>
  <cols>
    <col min="1" max="1" width="4.75" style="154" customWidth="1"/>
    <col min="2" max="2" width="58.875" style="155" customWidth="1"/>
    <col min="3" max="3" width="35.125" style="155" customWidth="1"/>
    <col min="4" max="5" width="7.375" style="155" customWidth="1"/>
    <col min="6" max="6" width="14.75" style="155" customWidth="1"/>
    <col min="7" max="7" width="5.75" style="155" customWidth="1"/>
    <col min="8" max="8" width="16" style="8" customWidth="1"/>
    <col min="9" max="10" width="16" style="155" bestFit="1" customWidth="1"/>
    <col min="11" max="11" width="18.625" style="155" customWidth="1"/>
    <col min="12" max="12" width="43.75" style="155" customWidth="1"/>
    <col min="13" max="13" width="24.125" style="155" customWidth="1"/>
    <col min="14" max="16" width="9" style="155"/>
    <col min="17" max="17" width="22.375" style="155" customWidth="1"/>
    <col min="18" max="18" width="19.25" style="155" customWidth="1"/>
    <col min="19" max="19" width="17" style="155" customWidth="1"/>
    <col min="20" max="16384" width="9" style="155"/>
  </cols>
  <sheetData>
    <row r="1" spans="1:12" ht="63.75" hidden="1" customHeight="1" outlineLevel="1" x14ac:dyDescent="0.3">
      <c r="K1" s="361" t="s">
        <v>350</v>
      </c>
      <c r="L1" s="361"/>
    </row>
    <row r="2" spans="1:12" hidden="1" outlineLevel="1" x14ac:dyDescent="0.25"/>
    <row r="3" spans="1:12" hidden="1" outlineLevel="1" x14ac:dyDescent="0.25"/>
    <row r="4" spans="1:12" ht="63.75" customHeight="1" collapsed="1" x14ac:dyDescent="0.25">
      <c r="A4" s="136"/>
      <c r="B4" s="8"/>
      <c r="C4" s="8"/>
      <c r="D4" s="8"/>
      <c r="E4" s="8"/>
      <c r="F4" s="8"/>
      <c r="G4" s="8"/>
      <c r="I4" s="8"/>
      <c r="J4" s="8"/>
      <c r="K4" s="339" t="s">
        <v>201</v>
      </c>
      <c r="L4" s="339"/>
    </row>
    <row r="5" spans="1:12" x14ac:dyDescent="0.25">
      <c r="A5" s="136"/>
      <c r="B5" s="8"/>
      <c r="C5" s="8"/>
      <c r="D5" s="8"/>
      <c r="E5" s="8"/>
      <c r="F5" s="8"/>
      <c r="G5" s="8"/>
      <c r="I5" s="8"/>
      <c r="J5" s="8"/>
      <c r="K5" s="8"/>
      <c r="L5" s="8"/>
    </row>
    <row r="6" spans="1:12" x14ac:dyDescent="0.25">
      <c r="A6" s="136"/>
      <c r="B6" s="8"/>
      <c r="C6" s="8"/>
      <c r="D6" s="8"/>
      <c r="E6" s="8"/>
      <c r="F6" s="8"/>
      <c r="G6" s="8"/>
      <c r="I6" s="8"/>
      <c r="J6" s="8"/>
      <c r="K6" s="8"/>
      <c r="L6" s="8"/>
    </row>
    <row r="7" spans="1:12" x14ac:dyDescent="0.25">
      <c r="A7" s="342" t="s">
        <v>1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</row>
    <row r="8" spans="1:12" x14ac:dyDescent="0.25">
      <c r="A8" s="342" t="s">
        <v>227</v>
      </c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2"/>
    </row>
    <row r="9" spans="1:12" x14ac:dyDescent="0.25">
      <c r="A9" s="136"/>
      <c r="B9" s="8"/>
      <c r="C9" s="8"/>
      <c r="D9" s="8"/>
      <c r="E9" s="8"/>
      <c r="F9" s="8"/>
      <c r="G9" s="8"/>
      <c r="I9" s="8"/>
      <c r="J9" s="8"/>
      <c r="K9" s="8"/>
      <c r="L9" s="8"/>
    </row>
    <row r="10" spans="1:12" s="165" customFormat="1" ht="32.25" customHeight="1" x14ac:dyDescent="0.25">
      <c r="A10" s="327" t="s">
        <v>19</v>
      </c>
      <c r="B10" s="327" t="s">
        <v>49</v>
      </c>
      <c r="C10" s="327" t="s">
        <v>25</v>
      </c>
      <c r="D10" s="327" t="s">
        <v>23</v>
      </c>
      <c r="E10" s="327"/>
      <c r="F10" s="327"/>
      <c r="G10" s="327"/>
      <c r="H10" s="327" t="s">
        <v>50</v>
      </c>
      <c r="I10" s="327"/>
      <c r="J10" s="327"/>
      <c r="K10" s="327"/>
      <c r="L10" s="327" t="s">
        <v>51</v>
      </c>
    </row>
    <row r="11" spans="1:12" s="165" customFormat="1" ht="57" customHeight="1" x14ac:dyDescent="0.25">
      <c r="A11" s="327"/>
      <c r="B11" s="327"/>
      <c r="C11" s="327"/>
      <c r="D11" s="133" t="s">
        <v>25</v>
      </c>
      <c r="E11" s="133" t="s">
        <v>26</v>
      </c>
      <c r="F11" s="133" t="s">
        <v>27</v>
      </c>
      <c r="G11" s="133" t="s">
        <v>28</v>
      </c>
      <c r="H11" s="291">
        <v>2023</v>
      </c>
      <c r="I11" s="140">
        <v>2024</v>
      </c>
      <c r="J11" s="140">
        <v>2025</v>
      </c>
      <c r="K11" s="133" t="s">
        <v>52</v>
      </c>
      <c r="L11" s="327"/>
    </row>
    <row r="12" spans="1:12" s="165" customFormat="1" ht="15.75" x14ac:dyDescent="0.25">
      <c r="A12" s="133">
        <v>1</v>
      </c>
      <c r="B12" s="133">
        <v>2</v>
      </c>
      <c r="C12" s="133">
        <v>3</v>
      </c>
      <c r="D12" s="133">
        <v>4</v>
      </c>
      <c r="E12" s="133">
        <v>5</v>
      </c>
      <c r="F12" s="133">
        <v>6</v>
      </c>
      <c r="G12" s="133">
        <v>7</v>
      </c>
      <c r="H12" s="290">
        <v>8</v>
      </c>
      <c r="I12" s="133">
        <v>9</v>
      </c>
      <c r="J12" s="133">
        <v>10</v>
      </c>
      <c r="K12" s="133">
        <v>11</v>
      </c>
      <c r="L12" s="133">
        <v>12</v>
      </c>
    </row>
    <row r="13" spans="1:12" s="166" customFormat="1" ht="18.75" customHeight="1" x14ac:dyDescent="0.25">
      <c r="A13" s="343" t="s">
        <v>163</v>
      </c>
      <c r="B13" s="343"/>
      <c r="C13" s="343"/>
      <c r="D13" s="343"/>
      <c r="E13" s="343"/>
      <c r="F13" s="343"/>
      <c r="G13" s="343"/>
      <c r="H13" s="343"/>
      <c r="I13" s="343"/>
      <c r="J13" s="343"/>
      <c r="K13" s="343"/>
      <c r="L13" s="343"/>
    </row>
    <row r="14" spans="1:12" s="166" customFormat="1" ht="15.75" customHeight="1" x14ac:dyDescent="0.25">
      <c r="A14" s="343" t="s">
        <v>122</v>
      </c>
      <c r="B14" s="343"/>
      <c r="C14" s="343"/>
      <c r="D14" s="343"/>
      <c r="E14" s="343"/>
      <c r="F14" s="343"/>
      <c r="G14" s="343"/>
      <c r="H14" s="343"/>
      <c r="I14" s="343"/>
      <c r="J14" s="343"/>
      <c r="K14" s="343"/>
      <c r="L14" s="343"/>
    </row>
    <row r="15" spans="1:12" s="165" customFormat="1" ht="30.75" customHeight="1" x14ac:dyDescent="0.25">
      <c r="A15" s="327" t="s">
        <v>3</v>
      </c>
      <c r="B15" s="325" t="s">
        <v>104</v>
      </c>
      <c r="C15" s="299" t="s">
        <v>65</v>
      </c>
      <c r="D15" s="301">
        <v>241</v>
      </c>
      <c r="E15" s="301" t="s">
        <v>64</v>
      </c>
      <c r="F15" s="59" t="s">
        <v>171</v>
      </c>
      <c r="G15" s="301">
        <v>811</v>
      </c>
      <c r="H15" s="32">
        <v>145012</v>
      </c>
      <c r="I15" s="32">
        <v>145012</v>
      </c>
      <c r="J15" s="32">
        <v>145012</v>
      </c>
      <c r="K15" s="33">
        <f>SUM(H15:J15)</f>
        <v>435036</v>
      </c>
      <c r="L15" s="325" t="s">
        <v>119</v>
      </c>
    </row>
    <row r="16" spans="1:12" s="165" customFormat="1" ht="15.75" x14ac:dyDescent="0.25">
      <c r="A16" s="327"/>
      <c r="B16" s="325"/>
      <c r="C16" s="70" t="s">
        <v>257</v>
      </c>
      <c r="D16" s="56" t="s">
        <v>30</v>
      </c>
      <c r="E16" s="56" t="s">
        <v>30</v>
      </c>
      <c r="F16" s="56" t="s">
        <v>30</v>
      </c>
      <c r="G16" s="56" t="s">
        <v>30</v>
      </c>
      <c r="H16" s="71">
        <f>H15</f>
        <v>145012</v>
      </c>
      <c r="I16" s="71">
        <f>I15</f>
        <v>145012</v>
      </c>
      <c r="J16" s="71">
        <f>J15</f>
        <v>145012</v>
      </c>
      <c r="K16" s="60">
        <f>SUM(H16:J16)</f>
        <v>435036</v>
      </c>
      <c r="L16" s="325"/>
    </row>
    <row r="17" spans="1:20" s="165" customFormat="1" ht="33.75" customHeight="1" x14ac:dyDescent="0.25">
      <c r="A17" s="327" t="s">
        <v>83</v>
      </c>
      <c r="B17" s="325" t="s">
        <v>105</v>
      </c>
      <c r="C17" s="299" t="s">
        <v>65</v>
      </c>
      <c r="D17" s="301">
        <v>241</v>
      </c>
      <c r="E17" s="301" t="s">
        <v>64</v>
      </c>
      <c r="F17" s="59" t="s">
        <v>172</v>
      </c>
      <c r="G17" s="301">
        <v>540</v>
      </c>
      <c r="H17" s="115">
        <v>33141.873</v>
      </c>
      <c r="I17" s="115">
        <v>33141.873</v>
      </c>
      <c r="J17" s="115">
        <v>33141.873</v>
      </c>
      <c r="K17" s="33">
        <f>SUM(H17:J17)</f>
        <v>99425.619000000006</v>
      </c>
      <c r="L17" s="325" t="s">
        <v>119</v>
      </c>
      <c r="O17" s="170"/>
      <c r="P17" s="170"/>
      <c r="Q17" s="170" t="s">
        <v>299</v>
      </c>
      <c r="R17" s="170"/>
      <c r="S17" s="171"/>
    </row>
    <row r="18" spans="1:20" s="165" customFormat="1" ht="15.75" x14ac:dyDescent="0.25">
      <c r="A18" s="327"/>
      <c r="B18" s="325"/>
      <c r="C18" s="70" t="s">
        <v>257</v>
      </c>
      <c r="D18" s="56" t="s">
        <v>30</v>
      </c>
      <c r="E18" s="56" t="s">
        <v>30</v>
      </c>
      <c r="F18" s="56" t="s">
        <v>30</v>
      </c>
      <c r="G18" s="56" t="s">
        <v>30</v>
      </c>
      <c r="H18" s="71">
        <f>H17</f>
        <v>33141.873</v>
      </c>
      <c r="I18" s="71">
        <f>I17</f>
        <v>33141.873</v>
      </c>
      <c r="J18" s="71">
        <f>J17</f>
        <v>33141.873</v>
      </c>
      <c r="K18" s="60">
        <f>SUM(H18:J18)</f>
        <v>99425.619000000006</v>
      </c>
      <c r="L18" s="325"/>
      <c r="O18" s="170" t="s">
        <v>301</v>
      </c>
      <c r="P18" s="170"/>
      <c r="Q18" s="172">
        <v>708164</v>
      </c>
      <c r="R18" s="172">
        <v>-708164</v>
      </c>
      <c r="S18" s="173">
        <f>Q18+R18</f>
        <v>0</v>
      </c>
      <c r="T18" s="165" t="s">
        <v>305</v>
      </c>
    </row>
    <row r="19" spans="1:20" s="165" customFormat="1" ht="15.75" hidden="1" customHeight="1" outlineLevel="1" x14ac:dyDescent="0.25">
      <c r="A19" s="375" t="s">
        <v>85</v>
      </c>
      <c r="B19" s="373" t="s">
        <v>306</v>
      </c>
      <c r="C19" s="160" t="s">
        <v>65</v>
      </c>
      <c r="D19" s="174" t="s">
        <v>280</v>
      </c>
      <c r="E19" s="174" t="s">
        <v>64</v>
      </c>
      <c r="F19" s="174" t="s">
        <v>308</v>
      </c>
      <c r="G19" s="174" t="s">
        <v>307</v>
      </c>
      <c r="H19" s="293">
        <v>0</v>
      </c>
      <c r="I19" s="175">
        <v>0</v>
      </c>
      <c r="J19" s="175">
        <v>0</v>
      </c>
      <c r="K19" s="120"/>
      <c r="L19" s="377" t="s">
        <v>309</v>
      </c>
      <c r="O19" s="170"/>
      <c r="P19" s="170"/>
      <c r="Q19" s="172"/>
      <c r="R19" s="172"/>
      <c r="S19" s="173"/>
    </row>
    <row r="20" spans="1:20" s="165" customFormat="1" ht="15.75" hidden="1" customHeight="1" outlineLevel="1" x14ac:dyDescent="0.25">
      <c r="A20" s="376"/>
      <c r="B20" s="374"/>
      <c r="C20" s="167" t="s">
        <v>257</v>
      </c>
      <c r="D20" s="157" t="s">
        <v>30</v>
      </c>
      <c r="E20" s="157" t="s">
        <v>30</v>
      </c>
      <c r="F20" s="157" t="s">
        <v>30</v>
      </c>
      <c r="G20" s="157" t="s">
        <v>30</v>
      </c>
      <c r="H20" s="71">
        <f t="shared" ref="H20:J20" si="0">H19</f>
        <v>0</v>
      </c>
      <c r="I20" s="168">
        <f t="shared" si="0"/>
        <v>0</v>
      </c>
      <c r="J20" s="168">
        <f t="shared" si="0"/>
        <v>0</v>
      </c>
      <c r="K20" s="169">
        <f t="shared" ref="K20" si="1">SUM(H20:J20)</f>
        <v>0</v>
      </c>
      <c r="L20" s="377"/>
      <c r="O20" s="170"/>
      <c r="P20" s="170"/>
      <c r="Q20" s="172"/>
      <c r="R20" s="172"/>
      <c r="S20" s="173"/>
    </row>
    <row r="21" spans="1:20" s="166" customFormat="1" ht="15.75" customHeight="1" collapsed="1" x14ac:dyDescent="0.25">
      <c r="A21" s="343" t="s">
        <v>235</v>
      </c>
      <c r="B21" s="343"/>
      <c r="C21" s="343"/>
      <c r="D21" s="343"/>
      <c r="E21" s="343"/>
      <c r="F21" s="343"/>
      <c r="G21" s="343"/>
      <c r="H21" s="343"/>
      <c r="I21" s="343"/>
      <c r="J21" s="343"/>
      <c r="K21" s="343"/>
      <c r="L21" s="343"/>
      <c r="O21" s="170" t="s">
        <v>300</v>
      </c>
      <c r="P21" s="170"/>
      <c r="Q21" s="172">
        <v>22121777</v>
      </c>
      <c r="R21" s="172">
        <v>-810700</v>
      </c>
      <c r="S21" s="173">
        <f t="shared" ref="S21:S23" si="2">Q21+R21</f>
        <v>21311077</v>
      </c>
      <c r="T21" s="166" t="s">
        <v>305</v>
      </c>
    </row>
    <row r="22" spans="1:20" s="165" customFormat="1" ht="33" customHeight="1" x14ac:dyDescent="0.25">
      <c r="A22" s="327" t="s">
        <v>84</v>
      </c>
      <c r="B22" s="325" t="s">
        <v>208</v>
      </c>
      <c r="C22" s="299" t="s">
        <v>94</v>
      </c>
      <c r="D22" s="301">
        <v>242</v>
      </c>
      <c r="E22" s="59" t="s">
        <v>209</v>
      </c>
      <c r="F22" s="59" t="s">
        <v>220</v>
      </c>
      <c r="G22" s="301">
        <v>244</v>
      </c>
      <c r="H22" s="122">
        <v>0</v>
      </c>
      <c r="I22" s="123">
        <v>0</v>
      </c>
      <c r="J22" s="123">
        <v>0</v>
      </c>
      <c r="K22" s="124">
        <f t="shared" ref="K22:K25" si="3">SUM(H22:J22)</f>
        <v>0</v>
      </c>
      <c r="L22" s="325" t="s">
        <v>342</v>
      </c>
      <c r="O22" s="170" t="s">
        <v>302</v>
      </c>
      <c r="P22" s="170"/>
      <c r="Q22" s="172">
        <v>3498423</v>
      </c>
      <c r="R22" s="172"/>
      <c r="S22" s="173">
        <f t="shared" si="2"/>
        <v>3498423</v>
      </c>
    </row>
    <row r="23" spans="1:20" s="165" customFormat="1" ht="20.25" x14ac:dyDescent="0.25">
      <c r="A23" s="327"/>
      <c r="B23" s="325"/>
      <c r="C23" s="70" t="s">
        <v>221</v>
      </c>
      <c r="D23" s="56" t="s">
        <v>30</v>
      </c>
      <c r="E23" s="56" t="s">
        <v>30</v>
      </c>
      <c r="F23" s="56" t="s">
        <v>30</v>
      </c>
      <c r="G23" s="56" t="s">
        <v>30</v>
      </c>
      <c r="H23" s="125">
        <f>H22</f>
        <v>0</v>
      </c>
      <c r="I23" s="125">
        <f t="shared" ref="I23:J25" si="4">I22</f>
        <v>0</v>
      </c>
      <c r="J23" s="125">
        <f t="shared" si="4"/>
        <v>0</v>
      </c>
      <c r="K23" s="126">
        <f t="shared" si="3"/>
        <v>0</v>
      </c>
      <c r="L23" s="325"/>
      <c r="O23" s="170" t="s">
        <v>303</v>
      </c>
      <c r="P23" s="170"/>
      <c r="Q23" s="172">
        <v>1833337</v>
      </c>
      <c r="R23" s="172"/>
      <c r="S23" s="173">
        <f t="shared" si="2"/>
        <v>1833337</v>
      </c>
    </row>
    <row r="24" spans="1:20" s="165" customFormat="1" ht="50.25" customHeight="1" x14ac:dyDescent="0.25">
      <c r="A24" s="327" t="s">
        <v>277</v>
      </c>
      <c r="B24" s="325" t="s">
        <v>253</v>
      </c>
      <c r="C24" s="300" t="s">
        <v>66</v>
      </c>
      <c r="D24" s="301">
        <v>247</v>
      </c>
      <c r="E24" s="59" t="s">
        <v>64</v>
      </c>
      <c r="F24" s="59" t="s">
        <v>252</v>
      </c>
      <c r="G24" s="301">
        <v>540</v>
      </c>
      <c r="H24" s="122">
        <v>0</v>
      </c>
      <c r="I24" s="123">
        <v>0</v>
      </c>
      <c r="J24" s="123">
        <v>0</v>
      </c>
      <c r="K24" s="124">
        <f t="shared" si="3"/>
        <v>0</v>
      </c>
      <c r="L24" s="299" t="s">
        <v>343</v>
      </c>
      <c r="O24" s="170" t="s">
        <v>304</v>
      </c>
      <c r="P24" s="170"/>
      <c r="Q24" s="172"/>
      <c r="R24" s="172"/>
      <c r="S24" s="173"/>
    </row>
    <row r="25" spans="1:20" s="165" customFormat="1" ht="20.25" x14ac:dyDescent="0.25">
      <c r="A25" s="327"/>
      <c r="B25" s="325"/>
      <c r="C25" s="70" t="s">
        <v>221</v>
      </c>
      <c r="D25" s="56" t="s">
        <v>30</v>
      </c>
      <c r="E25" s="56" t="s">
        <v>30</v>
      </c>
      <c r="F25" s="56" t="s">
        <v>30</v>
      </c>
      <c r="G25" s="56" t="s">
        <v>30</v>
      </c>
      <c r="H25" s="125">
        <f>H24</f>
        <v>0</v>
      </c>
      <c r="I25" s="125">
        <f t="shared" si="4"/>
        <v>0</v>
      </c>
      <c r="J25" s="125">
        <f t="shared" si="4"/>
        <v>0</v>
      </c>
      <c r="K25" s="126">
        <f t="shared" si="3"/>
        <v>0</v>
      </c>
      <c r="L25" s="306"/>
      <c r="O25" s="170"/>
      <c r="P25" s="170"/>
      <c r="Q25" s="172">
        <f>SUM(Q18:Q24)</f>
        <v>28161701</v>
      </c>
      <c r="R25" s="172"/>
      <c r="S25" s="173">
        <f>SUM(S18:S24)</f>
        <v>26642837</v>
      </c>
    </row>
    <row r="26" spans="1:20" s="165" customFormat="1" ht="15.75" customHeight="1" x14ac:dyDescent="0.25">
      <c r="A26" s="362" t="s">
        <v>278</v>
      </c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4"/>
    </row>
    <row r="27" spans="1:20" s="165" customFormat="1" ht="51.75" customHeight="1" x14ac:dyDescent="0.25">
      <c r="A27" s="344" t="s">
        <v>115</v>
      </c>
      <c r="B27" s="334" t="s">
        <v>279</v>
      </c>
      <c r="C27" s="299" t="s">
        <v>65</v>
      </c>
      <c r="D27" s="94" t="s">
        <v>280</v>
      </c>
      <c r="E27" s="94" t="s">
        <v>67</v>
      </c>
      <c r="F27" s="94" t="s">
        <v>281</v>
      </c>
      <c r="G27" s="94" t="s">
        <v>283</v>
      </c>
      <c r="H27" s="128">
        <v>4320</v>
      </c>
      <c r="I27" s="128">
        <v>4320</v>
      </c>
      <c r="J27" s="128">
        <v>4320</v>
      </c>
      <c r="K27" s="33">
        <f>SUM(H27:J27)</f>
        <v>12960</v>
      </c>
      <c r="L27" s="299" t="s">
        <v>344</v>
      </c>
      <c r="S27" s="165">
        <f>S25/1000</f>
        <v>26642.837</v>
      </c>
    </row>
    <row r="28" spans="1:20" s="165" customFormat="1" ht="15.75" x14ac:dyDescent="0.25">
      <c r="A28" s="345"/>
      <c r="B28" s="335"/>
      <c r="C28" s="70" t="s">
        <v>257</v>
      </c>
      <c r="D28" s="56" t="s">
        <v>30</v>
      </c>
      <c r="E28" s="56" t="s">
        <v>30</v>
      </c>
      <c r="F28" s="56" t="s">
        <v>30</v>
      </c>
      <c r="G28" s="56" t="s">
        <v>30</v>
      </c>
      <c r="H28" s="71">
        <f>SUM(H27)</f>
        <v>4320</v>
      </c>
      <c r="I28" s="71">
        <f>SUM(I27)</f>
        <v>4320</v>
      </c>
      <c r="J28" s="71">
        <f>SUM(J27)</f>
        <v>4320</v>
      </c>
      <c r="K28" s="71">
        <f>SUM(K27)</f>
        <v>12960</v>
      </c>
      <c r="L28" s="306"/>
      <c r="S28" s="176">
        <f>S27-H17</f>
        <v>-6499.0360000000001</v>
      </c>
    </row>
    <row r="29" spans="1:20" s="165" customFormat="1" ht="15" customHeight="1" x14ac:dyDescent="0.25">
      <c r="A29" s="369" t="s">
        <v>338</v>
      </c>
      <c r="B29" s="370"/>
      <c r="C29" s="370"/>
      <c r="D29" s="370"/>
      <c r="E29" s="370"/>
      <c r="F29" s="370"/>
      <c r="G29" s="370"/>
      <c r="H29" s="370"/>
      <c r="I29" s="370"/>
      <c r="J29" s="370"/>
      <c r="K29" s="370"/>
      <c r="L29" s="371"/>
    </row>
    <row r="30" spans="1:20" s="165" customFormat="1" ht="36.75" customHeight="1" x14ac:dyDescent="0.25">
      <c r="A30" s="344" t="s">
        <v>116</v>
      </c>
      <c r="B30" s="334" t="s">
        <v>333</v>
      </c>
      <c r="C30" s="299" t="s">
        <v>65</v>
      </c>
      <c r="D30" s="94" t="s">
        <v>280</v>
      </c>
      <c r="E30" s="94" t="s">
        <v>67</v>
      </c>
      <c r="F30" s="94" t="s">
        <v>323</v>
      </c>
      <c r="G30" s="94" t="s">
        <v>298</v>
      </c>
      <c r="H30" s="128">
        <v>17500</v>
      </c>
      <c r="I30" s="128">
        <v>17500</v>
      </c>
      <c r="J30" s="128">
        <v>17500</v>
      </c>
      <c r="K30" s="33">
        <f>SUM(H30:J30)</f>
        <v>52500</v>
      </c>
      <c r="L30" s="299" t="s">
        <v>345</v>
      </c>
      <c r="M30" s="165" t="s">
        <v>339</v>
      </c>
    </row>
    <row r="31" spans="1:20" s="165" customFormat="1" ht="15.75" x14ac:dyDescent="0.25">
      <c r="A31" s="345"/>
      <c r="B31" s="335"/>
      <c r="C31" s="70" t="s">
        <v>257</v>
      </c>
      <c r="D31" s="56" t="s">
        <v>30</v>
      </c>
      <c r="E31" s="56" t="s">
        <v>30</v>
      </c>
      <c r="F31" s="56" t="s">
        <v>30</v>
      </c>
      <c r="G31" s="56" t="s">
        <v>30</v>
      </c>
      <c r="H31" s="71">
        <f>SUM(H30)</f>
        <v>17500</v>
      </c>
      <c r="I31" s="71">
        <f>SUM(I30)</f>
        <v>17500</v>
      </c>
      <c r="J31" s="71">
        <f>SUM(J30)</f>
        <v>17500</v>
      </c>
      <c r="K31" s="71">
        <f>SUM(K30)</f>
        <v>52500</v>
      </c>
      <c r="L31" s="285"/>
    </row>
    <row r="32" spans="1:20" s="165" customFormat="1" ht="15.75" customHeight="1" x14ac:dyDescent="0.25">
      <c r="A32" s="369" t="s">
        <v>324</v>
      </c>
      <c r="B32" s="370"/>
      <c r="C32" s="370"/>
      <c r="D32" s="370"/>
      <c r="E32" s="370"/>
      <c r="F32" s="370"/>
      <c r="G32" s="370"/>
      <c r="H32" s="370"/>
      <c r="I32" s="370"/>
      <c r="J32" s="370"/>
      <c r="K32" s="370"/>
      <c r="L32" s="371"/>
    </row>
    <row r="33" spans="1:13" s="165" customFormat="1" ht="30" customHeight="1" x14ac:dyDescent="0.25">
      <c r="A33" s="344" t="s">
        <v>293</v>
      </c>
      <c r="B33" s="334" t="s">
        <v>336</v>
      </c>
      <c r="C33" s="299" t="s">
        <v>65</v>
      </c>
      <c r="D33" s="94" t="s">
        <v>280</v>
      </c>
      <c r="E33" s="94" t="s">
        <v>67</v>
      </c>
      <c r="F33" s="94" t="s">
        <v>325</v>
      </c>
      <c r="G33" s="94" t="s">
        <v>298</v>
      </c>
      <c r="H33" s="128" t="s">
        <v>316</v>
      </c>
      <c r="I33" s="128">
        <v>0</v>
      </c>
      <c r="J33" s="128">
        <v>0</v>
      </c>
      <c r="K33" s="33">
        <f>SUM(H33:J33)</f>
        <v>0</v>
      </c>
      <c r="L33" s="299" t="s">
        <v>346</v>
      </c>
    </row>
    <row r="34" spans="1:13" s="165" customFormat="1" ht="15.75" x14ac:dyDescent="0.25">
      <c r="A34" s="345"/>
      <c r="B34" s="335"/>
      <c r="C34" s="70" t="s">
        <v>257</v>
      </c>
      <c r="D34" s="56" t="s">
        <v>30</v>
      </c>
      <c r="E34" s="56" t="s">
        <v>30</v>
      </c>
      <c r="F34" s="56" t="s">
        <v>30</v>
      </c>
      <c r="G34" s="56" t="s">
        <v>30</v>
      </c>
      <c r="H34" s="71">
        <f>SUM(H33)</f>
        <v>0</v>
      </c>
      <c r="I34" s="71">
        <f t="shared" ref="I34:K34" si="5">SUM(I33)</f>
        <v>0</v>
      </c>
      <c r="J34" s="71">
        <f t="shared" si="5"/>
        <v>0</v>
      </c>
      <c r="K34" s="71">
        <f t="shared" si="5"/>
        <v>0</v>
      </c>
      <c r="L34" s="301"/>
    </row>
    <row r="35" spans="1:13" s="165" customFormat="1" ht="15.75" customHeight="1" x14ac:dyDescent="0.25">
      <c r="A35" s="369" t="s">
        <v>326</v>
      </c>
      <c r="B35" s="370"/>
      <c r="C35" s="370"/>
      <c r="D35" s="370"/>
      <c r="E35" s="370"/>
      <c r="F35" s="370"/>
      <c r="G35" s="370"/>
      <c r="H35" s="370"/>
      <c r="I35" s="370"/>
      <c r="J35" s="370"/>
      <c r="K35" s="370"/>
      <c r="L35" s="371"/>
    </row>
    <row r="36" spans="1:13" s="165" customFormat="1" ht="27.75" customHeight="1" x14ac:dyDescent="0.25">
      <c r="A36" s="344" t="s">
        <v>296</v>
      </c>
      <c r="B36" s="334" t="s">
        <v>330</v>
      </c>
      <c r="C36" s="299" t="s">
        <v>65</v>
      </c>
      <c r="D36" s="94" t="s">
        <v>280</v>
      </c>
      <c r="E36" s="94" t="s">
        <v>67</v>
      </c>
      <c r="F36" s="94" t="s">
        <v>327</v>
      </c>
      <c r="G36" s="94" t="s">
        <v>307</v>
      </c>
      <c r="H36" s="128" t="s">
        <v>316</v>
      </c>
      <c r="I36" s="128">
        <v>0</v>
      </c>
      <c r="J36" s="128">
        <v>0</v>
      </c>
      <c r="K36" s="33">
        <f>SUM(H36:J36)</f>
        <v>0</v>
      </c>
      <c r="L36" s="299" t="s">
        <v>347</v>
      </c>
      <c r="M36" s="165" t="s">
        <v>340</v>
      </c>
    </row>
    <row r="37" spans="1:13" s="165" customFormat="1" ht="15.75" x14ac:dyDescent="0.25">
      <c r="A37" s="345"/>
      <c r="B37" s="335"/>
      <c r="C37" s="70" t="s">
        <v>257</v>
      </c>
      <c r="D37" s="56" t="s">
        <v>30</v>
      </c>
      <c r="E37" s="56" t="s">
        <v>30</v>
      </c>
      <c r="F37" s="56" t="s">
        <v>30</v>
      </c>
      <c r="G37" s="56" t="s">
        <v>30</v>
      </c>
      <c r="H37" s="71">
        <f>SUM(H36)</f>
        <v>0</v>
      </c>
      <c r="I37" s="71">
        <f t="shared" ref="I37:K37" si="6">SUM(I36)</f>
        <v>0</v>
      </c>
      <c r="J37" s="71">
        <f t="shared" si="6"/>
        <v>0</v>
      </c>
      <c r="K37" s="71">
        <f t="shared" si="6"/>
        <v>0</v>
      </c>
      <c r="L37" s="301"/>
    </row>
    <row r="38" spans="1:13" s="165" customFormat="1" ht="15.75" customHeight="1" x14ac:dyDescent="0.25">
      <c r="A38" s="367" t="s">
        <v>334</v>
      </c>
      <c r="B38" s="368"/>
      <c r="C38" s="368"/>
      <c r="D38" s="368"/>
      <c r="E38" s="368"/>
      <c r="F38" s="368"/>
      <c r="G38" s="368"/>
      <c r="H38" s="368"/>
      <c r="I38" s="368"/>
      <c r="J38" s="368"/>
      <c r="K38" s="372"/>
      <c r="L38" s="306"/>
    </row>
    <row r="39" spans="1:13" s="165" customFormat="1" ht="31.5" x14ac:dyDescent="0.25">
      <c r="A39" s="344" t="s">
        <v>335</v>
      </c>
      <c r="B39" s="334" t="s">
        <v>354</v>
      </c>
      <c r="C39" s="299" t="s">
        <v>65</v>
      </c>
      <c r="D39" s="292" t="s">
        <v>280</v>
      </c>
      <c r="E39" s="292" t="s">
        <v>67</v>
      </c>
      <c r="F39" s="292" t="s">
        <v>353</v>
      </c>
      <c r="G39" s="292" t="s">
        <v>307</v>
      </c>
      <c r="H39" s="128" t="s">
        <v>316</v>
      </c>
      <c r="I39" s="265">
        <v>0</v>
      </c>
      <c r="J39" s="265">
        <v>0</v>
      </c>
      <c r="K39" s="266">
        <f>SUM(H39:J39)</f>
        <v>0</v>
      </c>
      <c r="L39" s="299" t="s">
        <v>348</v>
      </c>
      <c r="M39" s="165" t="s">
        <v>341</v>
      </c>
    </row>
    <row r="40" spans="1:13" s="165" customFormat="1" ht="15.75" x14ac:dyDescent="0.25">
      <c r="A40" s="345"/>
      <c r="B40" s="335"/>
      <c r="C40" s="70" t="s">
        <v>257</v>
      </c>
      <c r="D40" s="56" t="s">
        <v>30</v>
      </c>
      <c r="E40" s="56" t="s">
        <v>30</v>
      </c>
      <c r="F40" s="56" t="s">
        <v>30</v>
      </c>
      <c r="G40" s="56" t="s">
        <v>30</v>
      </c>
      <c r="H40" s="71">
        <f>SUM(H39)</f>
        <v>0</v>
      </c>
      <c r="I40" s="71">
        <f t="shared" ref="I40:K40" si="7">SUM(I39)</f>
        <v>0</v>
      </c>
      <c r="J40" s="71">
        <f t="shared" si="7"/>
        <v>0</v>
      </c>
      <c r="K40" s="71">
        <f t="shared" si="7"/>
        <v>0</v>
      </c>
      <c r="L40" s="306"/>
    </row>
    <row r="41" spans="1:13" s="165" customFormat="1" ht="15.75" customHeight="1" x14ac:dyDescent="0.25">
      <c r="A41" s="367" t="s">
        <v>357</v>
      </c>
      <c r="B41" s="368"/>
      <c r="C41" s="368"/>
      <c r="D41" s="368"/>
      <c r="E41" s="368"/>
      <c r="F41" s="368"/>
      <c r="G41" s="368"/>
      <c r="H41" s="368"/>
      <c r="I41" s="309"/>
      <c r="J41" s="309"/>
      <c r="K41" s="310"/>
      <c r="L41" s="306"/>
    </row>
    <row r="42" spans="1:13" s="165" customFormat="1" ht="31.5" x14ac:dyDescent="0.25">
      <c r="A42" s="344" t="s">
        <v>358</v>
      </c>
      <c r="B42" s="365" t="s">
        <v>359</v>
      </c>
      <c r="C42" s="299" t="s">
        <v>65</v>
      </c>
      <c r="D42" s="292" t="s">
        <v>280</v>
      </c>
      <c r="E42" s="292" t="s">
        <v>67</v>
      </c>
      <c r="F42" s="292" t="s">
        <v>355</v>
      </c>
      <c r="G42" s="292" t="s">
        <v>356</v>
      </c>
      <c r="H42" s="128" t="s">
        <v>316</v>
      </c>
      <c r="I42" s="265">
        <v>0</v>
      </c>
      <c r="J42" s="265">
        <v>0</v>
      </c>
      <c r="K42" s="266">
        <f>SUM(H42:J42)</f>
        <v>0</v>
      </c>
      <c r="L42" s="299" t="s">
        <v>360</v>
      </c>
    </row>
    <row r="43" spans="1:13" s="165" customFormat="1" ht="15.75" x14ac:dyDescent="0.25">
      <c r="A43" s="345"/>
      <c r="B43" s="366"/>
      <c r="C43" s="70" t="s">
        <v>257</v>
      </c>
      <c r="D43" s="56" t="s">
        <v>30</v>
      </c>
      <c r="E43" s="56" t="s">
        <v>30</v>
      </c>
      <c r="F43" s="56" t="s">
        <v>30</v>
      </c>
      <c r="G43" s="56" t="s">
        <v>30</v>
      </c>
      <c r="H43" s="71">
        <f>SUM(H42)</f>
        <v>0</v>
      </c>
      <c r="I43" s="71">
        <f t="shared" ref="I43:K43" si="8">SUM(I42)</f>
        <v>0</v>
      </c>
      <c r="J43" s="71">
        <f t="shared" si="8"/>
        <v>0</v>
      </c>
      <c r="K43" s="71">
        <f t="shared" si="8"/>
        <v>0</v>
      </c>
      <c r="L43" s="306"/>
    </row>
    <row r="44" spans="1:13" s="269" customFormat="1" ht="19.5" customHeight="1" x14ac:dyDescent="0.25">
      <c r="A44" s="267"/>
      <c r="B44" s="268" t="s">
        <v>118</v>
      </c>
      <c r="C44" s="267" t="s">
        <v>30</v>
      </c>
      <c r="D44" s="267" t="s">
        <v>30</v>
      </c>
      <c r="E44" s="267" t="s">
        <v>30</v>
      </c>
      <c r="F44" s="267" t="s">
        <v>30</v>
      </c>
      <c r="G44" s="267" t="s">
        <v>30</v>
      </c>
      <c r="H44" s="55">
        <f>H16+H18+H23+H25+H28+H31+H34+H37+H40+H43</f>
        <v>199973.87299999999</v>
      </c>
      <c r="I44" s="55">
        <f t="shared" ref="I44:J44" si="9">I16+I18+I23+I25+I28+I31+I34+I37+I40+I43</f>
        <v>199973.87299999999</v>
      </c>
      <c r="J44" s="55">
        <f t="shared" si="9"/>
        <v>199973.87299999999</v>
      </c>
      <c r="K44" s="55">
        <f>K16+K18+K23+K25+K28+K31+K34+K37+K40+K43</f>
        <v>599921.61899999995</v>
      </c>
      <c r="L44" s="267" t="s">
        <v>30</v>
      </c>
    </row>
    <row r="45" spans="1:13" x14ac:dyDescent="0.25">
      <c r="I45" s="8"/>
      <c r="J45" s="8"/>
      <c r="K45" s="8"/>
      <c r="L45" s="8"/>
    </row>
    <row r="46" spans="1:13" x14ac:dyDescent="0.25">
      <c r="H46" s="14">
        <f>H15/1000</f>
        <v>145.012</v>
      </c>
      <c r="I46" s="14">
        <f>I15/1000</f>
        <v>145.012</v>
      </c>
      <c r="J46" s="14">
        <f>J15/1000</f>
        <v>145.012</v>
      </c>
      <c r="K46" s="14">
        <f>K15/1000</f>
        <v>435.036</v>
      </c>
      <c r="L46" s="8"/>
    </row>
    <row r="47" spans="1:13" s="158" customFormat="1" x14ac:dyDescent="0.25">
      <c r="A47" s="162"/>
      <c r="H47" s="14">
        <f>H17/1000</f>
        <v>33.141872999999997</v>
      </c>
      <c r="I47" s="14">
        <f>I17/1000</f>
        <v>33.141872999999997</v>
      </c>
      <c r="J47" s="14">
        <f>J17/1000</f>
        <v>33.141872999999997</v>
      </c>
      <c r="K47" s="14">
        <f>K17/1000</f>
        <v>99.425619000000012</v>
      </c>
      <c r="L47" s="10"/>
    </row>
    <row r="48" spans="1:13" s="158" customFormat="1" x14ac:dyDescent="0.25">
      <c r="A48" s="162"/>
      <c r="H48" s="14">
        <f>H44/1000</f>
        <v>199.973873</v>
      </c>
      <c r="I48" s="14">
        <f>I44/1000</f>
        <v>199.973873</v>
      </c>
      <c r="J48" s="14">
        <f>J44/1000</f>
        <v>199.973873</v>
      </c>
      <c r="K48" s="14">
        <f>K44/1000</f>
        <v>599.92161899999996</v>
      </c>
      <c r="L48" s="10"/>
    </row>
    <row r="49" spans="1:12" s="158" customFormat="1" x14ac:dyDescent="0.25">
      <c r="A49" s="162"/>
      <c r="H49" s="10"/>
      <c r="I49" s="10"/>
      <c r="J49" s="10"/>
      <c r="K49" s="10"/>
      <c r="L49" s="10"/>
    </row>
    <row r="50" spans="1:12" x14ac:dyDescent="0.25">
      <c r="H50" s="50"/>
      <c r="I50" s="8"/>
      <c r="J50" s="8"/>
      <c r="K50" s="8"/>
      <c r="L50" s="8"/>
    </row>
    <row r="51" spans="1:12" x14ac:dyDescent="0.25">
      <c r="I51" s="8"/>
      <c r="J51" s="8"/>
      <c r="K51" s="8"/>
      <c r="L51" s="8"/>
    </row>
    <row r="54" spans="1:12" x14ac:dyDescent="0.25">
      <c r="H54" s="211" t="e">
        <f>H15+H17+H27+H30+H33+H36</f>
        <v>#VALUE!</v>
      </c>
      <c r="I54" s="211">
        <f>I15+I17+I27+I30+I33+I36</f>
        <v>199973.87299999999</v>
      </c>
      <c r="J54" s="211">
        <f>J15+J17+J27+J30+J33+J36</f>
        <v>199973.87299999999</v>
      </c>
      <c r="K54" s="211">
        <f>K15+K17+K27+K30+K33+K36</f>
        <v>599921.61899999995</v>
      </c>
    </row>
  </sheetData>
  <autoFilter ref="A10:L46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45">
    <mergeCell ref="A36:A37"/>
    <mergeCell ref="B36:B37"/>
    <mergeCell ref="A8:L8"/>
    <mergeCell ref="B19:B20"/>
    <mergeCell ref="A19:A20"/>
    <mergeCell ref="A24:A25"/>
    <mergeCell ref="B24:B25"/>
    <mergeCell ref="L19:L20"/>
    <mergeCell ref="C10:C11"/>
    <mergeCell ref="D10:G10"/>
    <mergeCell ref="H10:K10"/>
    <mergeCell ref="L10:L11"/>
    <mergeCell ref="A13:L13"/>
    <mergeCell ref="A10:A11"/>
    <mergeCell ref="B10:B11"/>
    <mergeCell ref="L15:L16"/>
    <mergeCell ref="A26:L26"/>
    <mergeCell ref="B27:B28"/>
    <mergeCell ref="A27:A28"/>
    <mergeCell ref="A42:A43"/>
    <mergeCell ref="B42:B43"/>
    <mergeCell ref="A41:H41"/>
    <mergeCell ref="A39:A40"/>
    <mergeCell ref="B39:B40"/>
    <mergeCell ref="A30:A31"/>
    <mergeCell ref="B30:B31"/>
    <mergeCell ref="A29:L29"/>
    <mergeCell ref="A32:L32"/>
    <mergeCell ref="A38:K38"/>
    <mergeCell ref="A33:A34"/>
    <mergeCell ref="B33:B34"/>
    <mergeCell ref="A35:L35"/>
    <mergeCell ref="K1:L1"/>
    <mergeCell ref="A17:A18"/>
    <mergeCell ref="A22:A23"/>
    <mergeCell ref="B22:B23"/>
    <mergeCell ref="A21:L21"/>
    <mergeCell ref="L17:L18"/>
    <mergeCell ref="L22:L23"/>
    <mergeCell ref="B17:B18"/>
    <mergeCell ref="A15:A16"/>
    <mergeCell ref="B15:B16"/>
    <mergeCell ref="A14:L14"/>
    <mergeCell ref="K4:L4"/>
    <mergeCell ref="A7:L7"/>
  </mergeCells>
  <pageMargins left="0.78740157480314965" right="0.78740157480314965" top="1.1811023622047245" bottom="0.39370078740157483" header="0.31496062992125984" footer="0.31496062992125984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I21"/>
  <sheetViews>
    <sheetView view="pageBreakPreview" topLeftCell="A4" zoomScaleNormal="85" zoomScaleSheetLayoutView="100" workbookViewId="0">
      <selection activeCell="F19" sqref="F19"/>
    </sheetView>
  </sheetViews>
  <sheetFormatPr defaultColWidth="9" defaultRowHeight="15.75" outlineLevelRow="1" outlineLevelCol="1" x14ac:dyDescent="0.25"/>
  <cols>
    <col min="1" max="1" width="5.375" style="141" customWidth="1"/>
    <col min="2" max="2" width="42.125" style="142" customWidth="1"/>
    <col min="3" max="3" width="11.5" style="141" customWidth="1"/>
    <col min="4" max="4" width="14.875" style="142" customWidth="1"/>
    <col min="5" max="5" width="14.875" style="142" hidden="1" customWidth="1" outlineLevel="1"/>
    <col min="6" max="6" width="12.875" style="142" customWidth="1" collapsed="1"/>
    <col min="7" max="9" width="14.625" style="142" customWidth="1"/>
    <col min="10" max="16384" width="9" style="142"/>
  </cols>
  <sheetData>
    <row r="1" spans="1:9" ht="78.75" hidden="1" customHeight="1" outlineLevel="1" x14ac:dyDescent="0.25">
      <c r="G1" s="317" t="s">
        <v>246</v>
      </c>
      <c r="H1" s="317"/>
      <c r="I1" s="317"/>
    </row>
    <row r="2" spans="1:9" hidden="1" outlineLevel="1" x14ac:dyDescent="0.25"/>
    <row r="3" spans="1:9" hidden="1" outlineLevel="1" x14ac:dyDescent="0.25"/>
    <row r="4" spans="1:9" ht="78.75" customHeight="1" collapsed="1" x14ac:dyDescent="0.25">
      <c r="G4" s="318" t="s">
        <v>202</v>
      </c>
      <c r="H4" s="318"/>
      <c r="I4" s="318"/>
    </row>
    <row r="5" spans="1:9" ht="18.75" x14ac:dyDescent="0.25">
      <c r="A5" s="144"/>
    </row>
    <row r="6" spans="1:9" ht="18.75" x14ac:dyDescent="0.25">
      <c r="A6" s="144"/>
    </row>
    <row r="7" spans="1:9" ht="18.75" x14ac:dyDescent="0.25">
      <c r="A7" s="320" t="s">
        <v>1</v>
      </c>
      <c r="B7" s="320"/>
      <c r="C7" s="320"/>
      <c r="D7" s="320"/>
      <c r="E7" s="320"/>
      <c r="F7" s="320"/>
      <c r="G7" s="320"/>
      <c r="H7" s="320"/>
      <c r="I7" s="320"/>
    </row>
    <row r="8" spans="1:9" ht="48" customHeight="1" x14ac:dyDescent="0.25">
      <c r="A8" s="331" t="s">
        <v>80</v>
      </c>
      <c r="B8" s="320"/>
      <c r="C8" s="320"/>
      <c r="D8" s="320"/>
      <c r="E8" s="320"/>
      <c r="F8" s="320"/>
      <c r="G8" s="320"/>
      <c r="H8" s="320"/>
      <c r="I8" s="320"/>
    </row>
    <row r="9" spans="1:9" ht="18.75" x14ac:dyDescent="0.25">
      <c r="A9" s="220"/>
      <c r="B9" s="1"/>
      <c r="C9" s="2"/>
      <c r="D9" s="1"/>
      <c r="E9" s="1"/>
      <c r="F9" s="1"/>
      <c r="G9" s="1"/>
      <c r="H9" s="1"/>
      <c r="I9" s="1"/>
    </row>
    <row r="10" spans="1:9" x14ac:dyDescent="0.25">
      <c r="A10" s="321" t="s">
        <v>19</v>
      </c>
      <c r="B10" s="321" t="s">
        <v>46</v>
      </c>
      <c r="C10" s="321" t="s">
        <v>2</v>
      </c>
      <c r="D10" s="321" t="s">
        <v>47</v>
      </c>
      <c r="E10" s="219"/>
      <c r="F10" s="321" t="s">
        <v>48</v>
      </c>
      <c r="G10" s="321"/>
      <c r="H10" s="321"/>
      <c r="I10" s="321"/>
    </row>
    <row r="11" spans="1:9" x14ac:dyDescent="0.25">
      <c r="A11" s="321"/>
      <c r="B11" s="321"/>
      <c r="C11" s="321"/>
      <c r="D11" s="321"/>
      <c r="E11" s="219">
        <v>2019</v>
      </c>
      <c r="F11" s="219">
        <v>2023</v>
      </c>
      <c r="G11" s="219">
        <f>F11+1</f>
        <v>2024</v>
      </c>
      <c r="H11" s="297">
        <f t="shared" ref="H11:I11" si="0">G11+1</f>
        <v>2025</v>
      </c>
      <c r="I11" s="297">
        <f t="shared" si="0"/>
        <v>2026</v>
      </c>
    </row>
    <row r="12" spans="1:9" x14ac:dyDescent="0.25">
      <c r="A12" s="219">
        <v>1</v>
      </c>
      <c r="B12" s="219">
        <v>2</v>
      </c>
      <c r="C12" s="219">
        <v>3</v>
      </c>
      <c r="D12" s="219">
        <v>4</v>
      </c>
      <c r="E12" s="219"/>
      <c r="F12" s="219">
        <v>5</v>
      </c>
      <c r="G12" s="219">
        <v>6</v>
      </c>
      <c r="H12" s="219">
        <v>7</v>
      </c>
      <c r="I12" s="219">
        <v>8</v>
      </c>
    </row>
    <row r="13" spans="1:9" x14ac:dyDescent="0.25">
      <c r="A13" s="330" t="str">
        <f>'+пр к ПП3'!A13:L13</f>
        <v>Цель. Снижение числа лиц, погибших в результате ДТП, и количества ДТП с пострадавшими.</v>
      </c>
      <c r="B13" s="330"/>
      <c r="C13" s="330"/>
      <c r="D13" s="330"/>
      <c r="E13" s="330"/>
      <c r="F13" s="330"/>
      <c r="G13" s="330"/>
      <c r="H13" s="330"/>
      <c r="I13" s="330"/>
    </row>
    <row r="14" spans="1:9" ht="41.25" customHeight="1" x14ac:dyDescent="0.25">
      <c r="A14" s="330" t="str">
        <f>'+пр к ПП3'!A14:L14</f>
        <v>Задача. 1. Развитие системы организации движения транспортных средств и пешеходов, предупреждение опасного поведения участников дорожного движения.</v>
      </c>
      <c r="B14" s="330"/>
      <c r="C14" s="330"/>
      <c r="D14" s="330"/>
      <c r="E14" s="330"/>
      <c r="F14" s="330"/>
      <c r="G14" s="330"/>
      <c r="H14" s="330"/>
      <c r="I14" s="330"/>
    </row>
    <row r="15" spans="1:9" s="177" customFormat="1" ht="63" x14ac:dyDescent="0.25">
      <c r="A15" s="216" t="s">
        <v>3</v>
      </c>
      <c r="B15" s="217" t="s">
        <v>138</v>
      </c>
      <c r="C15" s="216" t="s">
        <v>140</v>
      </c>
      <c r="D15" s="216" t="s">
        <v>144</v>
      </c>
      <c r="E15" s="121" t="e">
        <f t="shared" ref="E15:I15" si="1">E16/E17*100000</f>
        <v>#DIV/0!</v>
      </c>
      <c r="F15" s="263">
        <f t="shared" si="1"/>
        <v>6.5359477124183014</v>
      </c>
      <c r="G15" s="263">
        <f t="shared" si="1"/>
        <v>6.5910888478776704</v>
      </c>
      <c r="H15" s="263">
        <f t="shared" si="1"/>
        <v>6.6471683063015163</v>
      </c>
      <c r="I15" s="263">
        <f t="shared" si="1"/>
        <v>6.7051092932814811</v>
      </c>
    </row>
    <row r="16" spans="1:9" s="178" customFormat="1" ht="31.5" hidden="1" outlineLevel="1" x14ac:dyDescent="0.25">
      <c r="A16" s="11"/>
      <c r="B16" s="245" t="s">
        <v>81</v>
      </c>
      <c r="C16" s="11"/>
      <c r="D16" s="11"/>
      <c r="E16" s="149"/>
      <c r="F16" s="264">
        <v>1</v>
      </c>
      <c r="G16" s="264">
        <f>'пр к пасп'!J26</f>
        <v>1</v>
      </c>
      <c r="H16" s="264">
        <f>'пр к пасп'!K26</f>
        <v>1</v>
      </c>
      <c r="I16" s="264">
        <f>'пр к пасп'!L26</f>
        <v>1</v>
      </c>
    </row>
    <row r="17" spans="1:9" s="178" customFormat="1" hidden="1" outlineLevel="1" x14ac:dyDescent="0.25">
      <c r="A17" s="11"/>
      <c r="B17" s="245" t="s">
        <v>123</v>
      </c>
      <c r="C17" s="11"/>
      <c r="D17" s="11"/>
      <c r="E17" s="149"/>
      <c r="F17" s="264">
        <f>'пр к пасп'!L24</f>
        <v>15300</v>
      </c>
      <c r="G17" s="264">
        <v>15172</v>
      </c>
      <c r="H17" s="264">
        <v>15044</v>
      </c>
      <c r="I17" s="264">
        <v>14914</v>
      </c>
    </row>
    <row r="18" spans="1:9" s="178" customFormat="1" hidden="1" outlineLevel="1" x14ac:dyDescent="0.25">
      <c r="A18" s="11"/>
      <c r="B18" s="245" t="s">
        <v>228</v>
      </c>
      <c r="C18" s="11"/>
      <c r="D18" s="11"/>
      <c r="E18" s="149"/>
      <c r="F18" s="264">
        <v>4300</v>
      </c>
      <c r="G18" s="264">
        <f>ROUND(G17/F17*F18,0)</f>
        <v>4264</v>
      </c>
      <c r="H18" s="264">
        <f t="shared" ref="H18:I18" si="2">ROUND(H17/G17*G18,0)</f>
        <v>4228</v>
      </c>
      <c r="I18" s="264">
        <f t="shared" si="2"/>
        <v>4191</v>
      </c>
    </row>
    <row r="19" spans="1:9" s="179" customFormat="1" ht="63" collapsed="1" x14ac:dyDescent="0.25">
      <c r="A19" s="246" t="s">
        <v>83</v>
      </c>
      <c r="B19" s="231" t="s">
        <v>139</v>
      </c>
      <c r="C19" s="219" t="s">
        <v>141</v>
      </c>
      <c r="D19" s="219" t="s">
        <v>144</v>
      </c>
      <c r="E19" s="145"/>
      <c r="F19" s="263">
        <v>2</v>
      </c>
      <c r="G19" s="263">
        <f t="shared" ref="G19:I19" si="3">G16/G18*10000</f>
        <v>2.3452157598499062</v>
      </c>
      <c r="H19" s="263">
        <f t="shared" si="3"/>
        <v>2.3651844843897822</v>
      </c>
      <c r="I19" s="263">
        <f t="shared" si="3"/>
        <v>2.3860653781913626</v>
      </c>
    </row>
    <row r="20" spans="1:9" s="179" customFormat="1" ht="31.5" x14ac:dyDescent="0.25">
      <c r="A20" s="219" t="s">
        <v>85</v>
      </c>
      <c r="B20" s="231" t="s">
        <v>142</v>
      </c>
      <c r="C20" s="219" t="s">
        <v>143</v>
      </c>
      <c r="D20" s="219" t="s">
        <v>144</v>
      </c>
      <c r="E20" s="145"/>
      <c r="F20" s="263">
        <v>0</v>
      </c>
      <c r="G20" s="263">
        <v>0</v>
      </c>
      <c r="H20" s="263">
        <v>0</v>
      </c>
      <c r="I20" s="263">
        <v>0</v>
      </c>
    </row>
    <row r="21" spans="1:9" ht="63" x14ac:dyDescent="0.25">
      <c r="A21" s="219" t="s">
        <v>86</v>
      </c>
      <c r="B21" s="231" t="s">
        <v>289</v>
      </c>
      <c r="C21" s="219" t="s">
        <v>133</v>
      </c>
      <c r="D21" s="219" t="s">
        <v>290</v>
      </c>
      <c r="E21" s="145"/>
      <c r="F21" s="248">
        <v>10</v>
      </c>
      <c r="G21" s="248">
        <v>20</v>
      </c>
      <c r="H21" s="248">
        <v>30</v>
      </c>
      <c r="I21" s="248">
        <v>35</v>
      </c>
    </row>
  </sheetData>
  <mergeCells count="11">
    <mergeCell ref="G1:I1"/>
    <mergeCell ref="A13:I13"/>
    <mergeCell ref="A14:I14"/>
    <mergeCell ref="G4:I4"/>
    <mergeCell ref="A7:I7"/>
    <mergeCell ref="A8:I8"/>
    <mergeCell ref="A10:A11"/>
    <mergeCell ref="B10:B11"/>
    <mergeCell ref="C10:C11"/>
    <mergeCell ref="D10:D11"/>
    <mergeCell ref="F10:I10"/>
  </mergeCells>
  <pageMargins left="0.78740157480314965" right="0.78740157480314965" top="1.1811023622047245" bottom="0.39370078740157483" header="0.31496062992125984" footer="0.31496062992125984"/>
  <pageSetup paperSize="9" scale="92" fitToHeight="0" orientation="landscape" r:id="rId1"/>
  <colBreaks count="1" manualBreakCount="1">
    <brk id="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L28"/>
  <sheetViews>
    <sheetView view="pageBreakPreview" topLeftCell="A4" zoomScale="85" zoomScaleNormal="85" zoomScaleSheetLayoutView="85" workbookViewId="0">
      <selection activeCell="J12" sqref="J12"/>
    </sheetView>
  </sheetViews>
  <sheetFormatPr defaultColWidth="9" defaultRowHeight="18.75" outlineLevelRow="2" x14ac:dyDescent="0.25"/>
  <cols>
    <col min="1" max="1" width="4.75" style="154" customWidth="1"/>
    <col min="2" max="2" width="38.625" style="155" customWidth="1"/>
    <col min="3" max="3" width="23.5" style="155" customWidth="1"/>
    <col min="4" max="4" width="6.125" style="155" customWidth="1"/>
    <col min="5" max="5" width="6.875" style="155" customWidth="1"/>
    <col min="6" max="6" width="12" style="155" customWidth="1"/>
    <col min="7" max="7" width="5.75" style="155" customWidth="1"/>
    <col min="8" max="8" width="11.375" style="155" customWidth="1"/>
    <col min="9" max="10" width="9.625" style="155" customWidth="1"/>
    <col min="11" max="11" width="17" style="155" customWidth="1"/>
    <col min="12" max="12" width="24.5" style="155" customWidth="1"/>
    <col min="13" max="16384" width="9" style="155"/>
  </cols>
  <sheetData>
    <row r="1" spans="1:12" ht="84" hidden="1" customHeight="1" outlineLevel="1" x14ac:dyDescent="0.3">
      <c r="K1" s="338" t="s">
        <v>245</v>
      </c>
      <c r="L1" s="338"/>
    </row>
    <row r="2" spans="1:12" hidden="1" outlineLevel="1" x14ac:dyDescent="0.25"/>
    <row r="3" spans="1:12" hidden="1" outlineLevel="1" x14ac:dyDescent="0.25"/>
    <row r="4" spans="1:12" ht="88.5" customHeight="1" collapsed="1" x14ac:dyDescent="0.25">
      <c r="A4" s="136"/>
      <c r="B4" s="8"/>
      <c r="C4" s="8"/>
      <c r="D4" s="8"/>
      <c r="E4" s="8"/>
      <c r="F4" s="8"/>
      <c r="G4" s="8"/>
      <c r="H4" s="8"/>
      <c r="I4" s="8"/>
      <c r="J4" s="8"/>
      <c r="K4" s="339" t="s">
        <v>203</v>
      </c>
      <c r="L4" s="339"/>
    </row>
    <row r="5" spans="1:12" x14ac:dyDescent="0.25">
      <c r="A5" s="136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25">
      <c r="A6" s="136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5">
      <c r="A7" s="342" t="s">
        <v>1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</row>
    <row r="8" spans="1:12" x14ac:dyDescent="0.25">
      <c r="A8" s="342" t="s">
        <v>314</v>
      </c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2"/>
    </row>
    <row r="9" spans="1:12" x14ac:dyDescent="0.25">
      <c r="A9" s="136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s="165" customFormat="1" ht="15.75" x14ac:dyDescent="0.25">
      <c r="A10" s="327" t="s">
        <v>19</v>
      </c>
      <c r="B10" s="327" t="s">
        <v>49</v>
      </c>
      <c r="C10" s="327" t="s">
        <v>25</v>
      </c>
      <c r="D10" s="327" t="s">
        <v>23</v>
      </c>
      <c r="E10" s="327"/>
      <c r="F10" s="327"/>
      <c r="G10" s="327"/>
      <c r="H10" s="327" t="s">
        <v>50</v>
      </c>
      <c r="I10" s="327"/>
      <c r="J10" s="327"/>
      <c r="K10" s="327"/>
      <c r="L10" s="327" t="s">
        <v>51</v>
      </c>
    </row>
    <row r="11" spans="1:12" s="165" customFormat="1" ht="93" customHeight="1" x14ac:dyDescent="0.25">
      <c r="A11" s="327"/>
      <c r="B11" s="327"/>
      <c r="C11" s="327"/>
      <c r="D11" s="133" t="s">
        <v>25</v>
      </c>
      <c r="E11" s="133" t="s">
        <v>26</v>
      </c>
      <c r="F11" s="133" t="s">
        <v>27</v>
      </c>
      <c r="G11" s="133" t="s">
        <v>28</v>
      </c>
      <c r="H11" s="140">
        <v>2023</v>
      </c>
      <c r="I11" s="140">
        <f>H11+1</f>
        <v>2024</v>
      </c>
      <c r="J11" s="140">
        <f>I11+1</f>
        <v>2025</v>
      </c>
      <c r="K11" s="133" t="s">
        <v>52</v>
      </c>
      <c r="L11" s="327"/>
    </row>
    <row r="12" spans="1:12" s="165" customFormat="1" ht="15.75" x14ac:dyDescent="0.25">
      <c r="A12" s="133">
        <v>1</v>
      </c>
      <c r="B12" s="133">
        <v>2</v>
      </c>
      <c r="C12" s="133">
        <v>3</v>
      </c>
      <c r="D12" s="133">
        <v>4</v>
      </c>
      <c r="E12" s="133">
        <v>5</v>
      </c>
      <c r="F12" s="133">
        <v>6</v>
      </c>
      <c r="G12" s="133">
        <v>7</v>
      </c>
      <c r="H12" s="133">
        <v>8</v>
      </c>
      <c r="I12" s="133">
        <v>9</v>
      </c>
      <c r="J12" s="133">
        <v>10</v>
      </c>
      <c r="K12" s="133">
        <v>11</v>
      </c>
      <c r="L12" s="133">
        <v>12</v>
      </c>
    </row>
    <row r="13" spans="1:12" s="166" customFormat="1" ht="18.75" customHeight="1" x14ac:dyDescent="0.25">
      <c r="A13" s="382" t="s">
        <v>166</v>
      </c>
      <c r="B13" s="382"/>
      <c r="C13" s="382"/>
      <c r="D13" s="382"/>
      <c r="E13" s="382"/>
      <c r="F13" s="382"/>
      <c r="G13" s="382"/>
      <c r="H13" s="382"/>
      <c r="I13" s="382"/>
      <c r="J13" s="382"/>
      <c r="K13" s="382"/>
      <c r="L13" s="382"/>
    </row>
    <row r="14" spans="1:12" s="166" customFormat="1" ht="15.75" x14ac:dyDescent="0.25">
      <c r="A14" s="382" t="s">
        <v>167</v>
      </c>
      <c r="B14" s="382"/>
      <c r="C14" s="382"/>
      <c r="D14" s="382"/>
      <c r="E14" s="382"/>
      <c r="F14" s="382"/>
      <c r="G14" s="382"/>
      <c r="H14" s="382"/>
      <c r="I14" s="382"/>
      <c r="J14" s="382"/>
      <c r="K14" s="382"/>
      <c r="L14" s="382"/>
    </row>
    <row r="15" spans="1:12" s="181" customFormat="1" ht="32.25" customHeight="1" outlineLevel="2" x14ac:dyDescent="0.25">
      <c r="A15" s="327" t="s">
        <v>3</v>
      </c>
      <c r="B15" s="383" t="s">
        <v>229</v>
      </c>
      <c r="C15" s="383" t="s">
        <v>213</v>
      </c>
      <c r="D15" s="384">
        <v>243</v>
      </c>
      <c r="E15" s="385" t="s">
        <v>211</v>
      </c>
      <c r="F15" s="139" t="s">
        <v>210</v>
      </c>
      <c r="G15" s="384">
        <v>244</v>
      </c>
      <c r="H15" s="68">
        <v>0</v>
      </c>
      <c r="I15" s="68">
        <v>0</v>
      </c>
      <c r="J15" s="68">
        <v>0</v>
      </c>
      <c r="K15" s="68">
        <f>SUM(H15:J15)</f>
        <v>0</v>
      </c>
      <c r="L15" s="327"/>
    </row>
    <row r="16" spans="1:12" s="181" customFormat="1" ht="32.25" customHeight="1" outlineLevel="2" x14ac:dyDescent="0.25">
      <c r="A16" s="327"/>
      <c r="B16" s="383"/>
      <c r="C16" s="383"/>
      <c r="D16" s="384"/>
      <c r="E16" s="385"/>
      <c r="F16" s="139" t="s">
        <v>212</v>
      </c>
      <c r="G16" s="384"/>
      <c r="H16" s="68">
        <v>0</v>
      </c>
      <c r="I16" s="68">
        <v>0</v>
      </c>
      <c r="J16" s="68">
        <v>0</v>
      </c>
      <c r="K16" s="68">
        <f>SUM(H16:J16)</f>
        <v>0</v>
      </c>
      <c r="L16" s="327"/>
    </row>
    <row r="17" spans="1:12" s="181" customFormat="1" ht="15.75" outlineLevel="2" x14ac:dyDescent="0.25">
      <c r="A17" s="327"/>
      <c r="B17" s="383"/>
      <c r="C17" s="70" t="s">
        <v>221</v>
      </c>
      <c r="D17" s="56" t="s">
        <v>30</v>
      </c>
      <c r="E17" s="56" t="s">
        <v>30</v>
      </c>
      <c r="F17" s="56" t="s">
        <v>30</v>
      </c>
      <c r="G17" s="56" t="s">
        <v>30</v>
      </c>
      <c r="H17" s="90">
        <f>H15+H16</f>
        <v>0</v>
      </c>
      <c r="I17" s="90">
        <f t="shared" ref="I17:J17" si="0">I15+I16</f>
        <v>0</v>
      </c>
      <c r="J17" s="90">
        <f t="shared" si="0"/>
        <v>0</v>
      </c>
      <c r="K17" s="90">
        <f t="shared" ref="K17" si="1">SUM(H17:J17)</f>
        <v>0</v>
      </c>
      <c r="L17" s="327"/>
    </row>
    <row r="18" spans="1:12" s="181" customFormat="1" ht="72" customHeight="1" outlineLevel="1" x14ac:dyDescent="0.25">
      <c r="A18" s="327" t="s">
        <v>3</v>
      </c>
      <c r="B18" s="383" t="s">
        <v>275</v>
      </c>
      <c r="C18" s="137" t="s">
        <v>66</v>
      </c>
      <c r="D18" s="138">
        <v>247</v>
      </c>
      <c r="E18" s="139" t="s">
        <v>62</v>
      </c>
      <c r="F18" s="139" t="s">
        <v>319</v>
      </c>
      <c r="G18" s="138">
        <v>540</v>
      </c>
      <c r="H18" s="180"/>
      <c r="I18" s="180"/>
      <c r="J18" s="180"/>
      <c r="K18" s="180">
        <f t="shared" ref="K18" si="2">SUM(H18:J18)</f>
        <v>0</v>
      </c>
      <c r="L18" s="327"/>
    </row>
    <row r="19" spans="1:12" s="181" customFormat="1" ht="15.75" outlineLevel="1" x14ac:dyDescent="0.25">
      <c r="A19" s="327"/>
      <c r="B19" s="383"/>
      <c r="C19" s="70" t="s">
        <v>257</v>
      </c>
      <c r="D19" s="56" t="s">
        <v>30</v>
      </c>
      <c r="E19" s="56" t="s">
        <v>30</v>
      </c>
      <c r="F19" s="56" t="s">
        <v>30</v>
      </c>
      <c r="G19" s="56" t="s">
        <v>30</v>
      </c>
      <c r="H19" s="90">
        <f>H18</f>
        <v>0</v>
      </c>
      <c r="I19" s="90">
        <f t="shared" ref="I19:J19" si="3">I18</f>
        <v>0</v>
      </c>
      <c r="J19" s="90">
        <f t="shared" si="3"/>
        <v>0</v>
      </c>
      <c r="K19" s="90">
        <f t="shared" ref="K19:K21" si="4">SUM(H19:J19)</f>
        <v>0</v>
      </c>
      <c r="L19" s="327"/>
    </row>
    <row r="20" spans="1:12" s="181" customFormat="1" ht="63" outlineLevel="1" x14ac:dyDescent="0.25">
      <c r="A20" s="327" t="s">
        <v>83</v>
      </c>
      <c r="B20" s="383" t="s">
        <v>247</v>
      </c>
      <c r="C20" s="137" t="s">
        <v>248</v>
      </c>
      <c r="D20" s="138">
        <v>244</v>
      </c>
      <c r="E20" s="139" t="s">
        <v>62</v>
      </c>
      <c r="F20" s="139" t="s">
        <v>249</v>
      </c>
      <c r="G20" s="138">
        <v>244</v>
      </c>
      <c r="H20" s="68">
        <v>0</v>
      </c>
      <c r="I20" s="68">
        <v>0</v>
      </c>
      <c r="J20" s="68">
        <v>0</v>
      </c>
      <c r="K20" s="68">
        <f t="shared" si="4"/>
        <v>0</v>
      </c>
      <c r="L20" s="133"/>
    </row>
    <row r="21" spans="1:12" s="181" customFormat="1" ht="15.75" outlineLevel="1" x14ac:dyDescent="0.25">
      <c r="A21" s="327"/>
      <c r="B21" s="383"/>
      <c r="C21" s="70" t="s">
        <v>257</v>
      </c>
      <c r="D21" s="56" t="s">
        <v>30</v>
      </c>
      <c r="E21" s="56" t="s">
        <v>30</v>
      </c>
      <c r="F21" s="56" t="s">
        <v>30</v>
      </c>
      <c r="G21" s="56" t="s">
        <v>30</v>
      </c>
      <c r="H21" s="90">
        <f>H20</f>
        <v>0</v>
      </c>
      <c r="I21" s="90">
        <f t="shared" ref="I21:J23" si="5">I20</f>
        <v>0</v>
      </c>
      <c r="J21" s="90">
        <f t="shared" si="5"/>
        <v>0</v>
      </c>
      <c r="K21" s="90">
        <f t="shared" si="4"/>
        <v>0</v>
      </c>
      <c r="L21" s="133"/>
    </row>
    <row r="22" spans="1:12" s="181" customFormat="1" ht="63" outlineLevel="1" x14ac:dyDescent="0.25">
      <c r="A22" s="380" t="s">
        <v>85</v>
      </c>
      <c r="B22" s="378" t="s">
        <v>282</v>
      </c>
      <c r="C22" s="207" t="s">
        <v>66</v>
      </c>
      <c r="D22" s="208" t="s">
        <v>283</v>
      </c>
      <c r="E22" s="208" t="s">
        <v>62</v>
      </c>
      <c r="F22" s="208" t="s">
        <v>284</v>
      </c>
      <c r="G22" s="208" t="s">
        <v>285</v>
      </c>
      <c r="H22" s="209">
        <v>0</v>
      </c>
      <c r="I22" s="209">
        <v>0</v>
      </c>
      <c r="J22" s="209">
        <v>0</v>
      </c>
      <c r="K22" s="209">
        <f>J22+I22+H22</f>
        <v>0</v>
      </c>
      <c r="L22" s="133"/>
    </row>
    <row r="23" spans="1:12" s="181" customFormat="1" ht="15.75" outlineLevel="1" x14ac:dyDescent="0.25">
      <c r="A23" s="381"/>
      <c r="B23" s="379"/>
      <c r="C23" s="70" t="s">
        <v>257</v>
      </c>
      <c r="D23" s="56" t="s">
        <v>30</v>
      </c>
      <c r="E23" s="56" t="s">
        <v>30</v>
      </c>
      <c r="F23" s="56" t="s">
        <v>30</v>
      </c>
      <c r="G23" s="56" t="s">
        <v>30</v>
      </c>
      <c r="H23" s="90">
        <f>H22</f>
        <v>0</v>
      </c>
      <c r="I23" s="90">
        <f t="shared" si="5"/>
        <v>0</v>
      </c>
      <c r="J23" s="90">
        <f t="shared" si="5"/>
        <v>0</v>
      </c>
      <c r="K23" s="90">
        <f t="shared" ref="K23" si="6">SUM(H23:J23)</f>
        <v>0</v>
      </c>
      <c r="L23" s="133"/>
    </row>
    <row r="24" spans="1:12" x14ac:dyDescent="0.25">
      <c r="A24" s="53"/>
      <c r="B24" s="54" t="s">
        <v>118</v>
      </c>
      <c r="C24" s="53" t="s">
        <v>30</v>
      </c>
      <c r="D24" s="53" t="s">
        <v>30</v>
      </c>
      <c r="E24" s="53" t="s">
        <v>30</v>
      </c>
      <c r="F24" s="53" t="s">
        <v>30</v>
      </c>
      <c r="G24" s="53" t="s">
        <v>30</v>
      </c>
      <c r="H24" s="210">
        <f>H17+H19+H21+H23</f>
        <v>0</v>
      </c>
      <c r="I24" s="210">
        <f t="shared" ref="I24:K24" si="7">I17+I19+I21+I23</f>
        <v>0</v>
      </c>
      <c r="J24" s="210">
        <f t="shared" si="7"/>
        <v>0</v>
      </c>
      <c r="K24" s="210">
        <f t="shared" si="7"/>
        <v>0</v>
      </c>
      <c r="L24" s="53" t="s">
        <v>30</v>
      </c>
    </row>
    <row r="27" spans="1:12" x14ac:dyDescent="0.25">
      <c r="H27" s="163">
        <f>H18/1000</f>
        <v>0</v>
      </c>
      <c r="I27" s="163">
        <f>I18/1000</f>
        <v>0</v>
      </c>
      <c r="J27" s="163">
        <f>J18/1000</f>
        <v>0</v>
      </c>
      <c r="K27" s="163">
        <f>K18/1000</f>
        <v>0</v>
      </c>
    </row>
    <row r="28" spans="1:12" x14ac:dyDescent="0.25">
      <c r="H28" s="163">
        <f>H24/1000</f>
        <v>0</v>
      </c>
      <c r="I28" s="163">
        <f t="shared" ref="I28:K28" si="8">I24/1000</f>
        <v>0</v>
      </c>
      <c r="J28" s="163">
        <f t="shared" si="8"/>
        <v>0</v>
      </c>
      <c r="K28" s="163">
        <f t="shared" si="8"/>
        <v>0</v>
      </c>
    </row>
  </sheetData>
  <autoFilter ref="A10:L14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6">
    <mergeCell ref="G15:G16"/>
    <mergeCell ref="L15:L17"/>
    <mergeCell ref="A18:A19"/>
    <mergeCell ref="B18:B19"/>
    <mergeCell ref="L18:L19"/>
    <mergeCell ref="C15:C16"/>
    <mergeCell ref="B15:B17"/>
    <mergeCell ref="A15:A17"/>
    <mergeCell ref="D15:D16"/>
    <mergeCell ref="E15:E16"/>
    <mergeCell ref="B22:B23"/>
    <mergeCell ref="A22:A23"/>
    <mergeCell ref="K1:L1"/>
    <mergeCell ref="A14:L14"/>
    <mergeCell ref="A13:L13"/>
    <mergeCell ref="K4:L4"/>
    <mergeCell ref="A7:L7"/>
    <mergeCell ref="A8:L8"/>
    <mergeCell ref="A10:A11"/>
    <mergeCell ref="B10:B11"/>
    <mergeCell ref="C10:C11"/>
    <mergeCell ref="D10:G10"/>
    <mergeCell ref="H10:K10"/>
    <mergeCell ref="L10:L11"/>
    <mergeCell ref="A20:A21"/>
    <mergeCell ref="B20:B21"/>
  </mergeCells>
  <pageMargins left="0.78740157480314965" right="0.78740157480314965" top="1.1811023622047245" bottom="0.39370078740157483" header="0.31496062992125984" footer="0.31496062992125984"/>
  <pageSetup paperSize="9" scale="71" fitToHeight="0" orientation="landscape" r:id="rId1"/>
  <colBreaks count="1" manualBreakCount="1">
    <brk id="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H12"/>
  <sheetViews>
    <sheetView view="pageBreakPreview" zoomScale="85" zoomScaleNormal="70" zoomScaleSheetLayoutView="85" workbookViewId="0">
      <selection activeCell="H17" sqref="H17"/>
    </sheetView>
  </sheetViews>
  <sheetFormatPr defaultColWidth="9" defaultRowHeight="15.75" x14ac:dyDescent="0.25"/>
  <cols>
    <col min="1" max="1" width="5.375" style="141" customWidth="1"/>
    <col min="2" max="2" width="42.125" style="142" customWidth="1"/>
    <col min="3" max="3" width="11.5" style="141" customWidth="1"/>
    <col min="4" max="4" width="14.875" style="142" customWidth="1"/>
    <col min="5" max="5" width="12.875" style="142" customWidth="1"/>
    <col min="6" max="8" width="12" style="142" customWidth="1"/>
    <col min="9" max="16384" width="9" style="142"/>
  </cols>
  <sheetData>
    <row r="1" spans="1:8" ht="92.25" customHeight="1" x14ac:dyDescent="0.25">
      <c r="A1" s="2"/>
      <c r="B1" s="1"/>
      <c r="C1" s="2"/>
      <c r="D1" s="1"/>
      <c r="E1" s="1"/>
      <c r="F1" s="318" t="s">
        <v>204</v>
      </c>
      <c r="G1" s="318"/>
      <c r="H1" s="318"/>
    </row>
    <row r="2" spans="1:8" ht="18.75" x14ac:dyDescent="0.25">
      <c r="A2" s="220"/>
      <c r="B2" s="1"/>
      <c r="C2" s="2"/>
      <c r="D2" s="1"/>
      <c r="E2" s="1"/>
      <c r="F2" s="1"/>
      <c r="G2" s="1"/>
      <c r="H2" s="1"/>
    </row>
    <row r="3" spans="1:8" ht="18.75" x14ac:dyDescent="0.25">
      <c r="A3" s="220"/>
      <c r="B3" s="1"/>
      <c r="C3" s="2"/>
      <c r="D3" s="1"/>
      <c r="E3" s="1"/>
      <c r="F3" s="1"/>
      <c r="G3" s="1"/>
      <c r="H3" s="1"/>
    </row>
    <row r="4" spans="1:8" ht="18.75" x14ac:dyDescent="0.25">
      <c r="A4" s="320" t="s">
        <v>1</v>
      </c>
      <c r="B4" s="320"/>
      <c r="C4" s="320"/>
      <c r="D4" s="320"/>
      <c r="E4" s="320"/>
      <c r="F4" s="320"/>
      <c r="G4" s="320"/>
      <c r="H4" s="320"/>
    </row>
    <row r="5" spans="1:8" ht="48" customHeight="1" x14ac:dyDescent="0.25">
      <c r="A5" s="331" t="s">
        <v>159</v>
      </c>
      <c r="B5" s="320"/>
      <c r="C5" s="320"/>
      <c r="D5" s="320"/>
      <c r="E5" s="320"/>
      <c r="F5" s="320"/>
      <c r="G5" s="320"/>
      <c r="H5" s="320"/>
    </row>
    <row r="6" spans="1:8" ht="18.75" x14ac:dyDescent="0.25">
      <c r="A6" s="220"/>
      <c r="B6" s="1"/>
      <c r="C6" s="2"/>
      <c r="D6" s="1"/>
      <c r="E6" s="1"/>
      <c r="F6" s="1"/>
      <c r="G6" s="1"/>
      <c r="H6" s="1"/>
    </row>
    <row r="7" spans="1:8" x14ac:dyDescent="0.25">
      <c r="A7" s="321" t="s">
        <v>19</v>
      </c>
      <c r="B7" s="321" t="s">
        <v>46</v>
      </c>
      <c r="C7" s="321" t="s">
        <v>2</v>
      </c>
      <c r="D7" s="321" t="s">
        <v>47</v>
      </c>
      <c r="E7" s="321" t="s">
        <v>48</v>
      </c>
      <c r="F7" s="321"/>
      <c r="G7" s="321"/>
      <c r="H7" s="321"/>
    </row>
    <row r="8" spans="1:8" x14ac:dyDescent="0.25">
      <c r="A8" s="321"/>
      <c r="B8" s="321"/>
      <c r="C8" s="321"/>
      <c r="D8" s="321"/>
      <c r="E8" s="219">
        <v>2023</v>
      </c>
      <c r="F8" s="219">
        <v>2024</v>
      </c>
      <c r="G8" s="219">
        <v>2025</v>
      </c>
      <c r="H8" s="219">
        <v>2026</v>
      </c>
    </row>
    <row r="9" spans="1:8" x14ac:dyDescent="0.25">
      <c r="A9" s="219">
        <v>1</v>
      </c>
      <c r="B9" s="219">
        <v>2</v>
      </c>
      <c r="C9" s="219">
        <v>3</v>
      </c>
      <c r="D9" s="219">
        <v>4</v>
      </c>
      <c r="E9" s="219">
        <v>5</v>
      </c>
      <c r="F9" s="219">
        <v>6</v>
      </c>
      <c r="G9" s="219">
        <v>7</v>
      </c>
      <c r="H9" s="219">
        <v>8</v>
      </c>
    </row>
    <row r="10" spans="1:8" ht="36" customHeight="1" x14ac:dyDescent="0.25">
      <c r="A10" s="330" t="str">
        <f>'+пр к ПП4'!A13</f>
        <v>Цель. Формирование доступности внутризоновой, междугородней и международной связи и модернизация существующей телефонной сети.</v>
      </c>
      <c r="B10" s="330"/>
      <c r="C10" s="330"/>
      <c r="D10" s="330"/>
      <c r="E10" s="330"/>
      <c r="F10" s="330"/>
      <c r="G10" s="330"/>
      <c r="H10" s="330"/>
    </row>
    <row r="11" spans="1:8" ht="20.25" customHeight="1" x14ac:dyDescent="0.25">
      <c r="A11" s="330" t="str">
        <f>'+пр к ПП4'!A14</f>
        <v>Задача 1. Создание условий, обеспечивающих доступность внутризоновой, междугородней и международной связи.</v>
      </c>
      <c r="B11" s="330"/>
      <c r="C11" s="330"/>
      <c r="D11" s="330"/>
      <c r="E11" s="330"/>
      <c r="F11" s="330"/>
      <c r="G11" s="330"/>
      <c r="H11" s="330"/>
    </row>
    <row r="12" spans="1:8" s="182" customFormat="1" ht="82.5" customHeight="1" x14ac:dyDescent="0.25">
      <c r="A12" s="219" t="s">
        <v>3</v>
      </c>
      <c r="B12" s="225" t="s">
        <v>234</v>
      </c>
      <c r="C12" s="219" t="s">
        <v>73</v>
      </c>
      <c r="D12" s="219" t="s">
        <v>205</v>
      </c>
      <c r="E12" s="254">
        <v>1</v>
      </c>
      <c r="F12" s="254">
        <v>1</v>
      </c>
      <c r="G12" s="254">
        <f t="shared" ref="G12:H12" si="0">F12</f>
        <v>1</v>
      </c>
      <c r="H12" s="254">
        <f t="shared" si="0"/>
        <v>1</v>
      </c>
    </row>
  </sheetData>
  <mergeCells count="10">
    <mergeCell ref="A10:H10"/>
    <mergeCell ref="A11:H11"/>
    <mergeCell ref="F1:H1"/>
    <mergeCell ref="A4:H4"/>
    <mergeCell ref="A5:H5"/>
    <mergeCell ref="A7:A8"/>
    <mergeCell ref="B7:B8"/>
    <mergeCell ref="C7:C8"/>
    <mergeCell ref="D7:D8"/>
    <mergeCell ref="E7:H7"/>
  </mergeCells>
  <pageMargins left="0.78740157480314965" right="0.78740157480314965" top="1.1811023622047245" bottom="0.39370078740157483" header="0.31496062992125984" footer="0.31496062992125984"/>
  <pageSetup paperSize="9"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T25"/>
  <sheetViews>
    <sheetView view="pageBreakPreview" topLeftCell="A4" zoomScaleNormal="100" zoomScaleSheetLayoutView="100" workbookViewId="0">
      <selection activeCell="I21" sqref="I21"/>
    </sheetView>
  </sheetViews>
  <sheetFormatPr defaultColWidth="9" defaultRowHeight="18.75" outlineLevelRow="1" x14ac:dyDescent="0.25"/>
  <cols>
    <col min="1" max="1" width="4.75" style="155" customWidth="1"/>
    <col min="2" max="2" width="49.625" style="155" customWidth="1"/>
    <col min="3" max="3" width="24.75" style="155" customWidth="1"/>
    <col min="4" max="5" width="7.375" style="155" customWidth="1"/>
    <col min="6" max="6" width="21" style="155" customWidth="1"/>
    <col min="7" max="7" width="5.75" style="155" customWidth="1"/>
    <col min="8" max="8" width="5.75" style="155" hidden="1" customWidth="1"/>
    <col min="9" max="10" width="15.25" style="155" bestFit="1" customWidth="1"/>
    <col min="11" max="11" width="13.75" style="155" bestFit="1" customWidth="1"/>
    <col min="12" max="12" width="20" style="155" customWidth="1"/>
    <col min="13" max="13" width="24.5" style="155" customWidth="1"/>
    <col min="14" max="16384" width="9" style="155"/>
  </cols>
  <sheetData>
    <row r="1" spans="1:13" ht="84" hidden="1" customHeight="1" outlineLevel="1" x14ac:dyDescent="0.3">
      <c r="L1" s="338" t="s">
        <v>245</v>
      </c>
      <c r="M1" s="338"/>
    </row>
    <row r="2" spans="1:13" hidden="1" outlineLevel="1" x14ac:dyDescent="0.25"/>
    <row r="3" spans="1:13" hidden="1" outlineLevel="1" x14ac:dyDescent="0.25"/>
    <row r="4" spans="1:13" ht="63" customHeight="1" collapsed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339" t="s">
        <v>206</v>
      </c>
      <c r="M4" s="339"/>
    </row>
    <row r="5" spans="1:13" x14ac:dyDescent="0.25">
      <c r="A5" s="9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x14ac:dyDescent="0.25">
      <c r="A6" s="9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5">
      <c r="A7" s="342" t="s">
        <v>1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2"/>
    </row>
    <row r="8" spans="1:13" x14ac:dyDescent="0.25">
      <c r="A8" s="342" t="s">
        <v>170</v>
      </c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</row>
    <row r="9" spans="1:13" x14ac:dyDescent="0.25">
      <c r="A9" s="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s="165" customFormat="1" ht="15.75" x14ac:dyDescent="0.25">
      <c r="A10" s="327" t="s">
        <v>19</v>
      </c>
      <c r="B10" s="327" t="s">
        <v>49</v>
      </c>
      <c r="C10" s="327" t="s">
        <v>25</v>
      </c>
      <c r="D10" s="327" t="s">
        <v>23</v>
      </c>
      <c r="E10" s="327"/>
      <c r="F10" s="327"/>
      <c r="G10" s="327"/>
      <c r="H10" s="301"/>
      <c r="I10" s="327" t="s">
        <v>50</v>
      </c>
      <c r="J10" s="327"/>
      <c r="K10" s="327"/>
      <c r="L10" s="327"/>
      <c r="M10" s="327" t="s">
        <v>51</v>
      </c>
    </row>
    <row r="11" spans="1:13" s="165" customFormat="1" ht="93" customHeight="1" x14ac:dyDescent="0.25">
      <c r="A11" s="327"/>
      <c r="B11" s="327"/>
      <c r="C11" s="327"/>
      <c r="D11" s="133" t="s">
        <v>25</v>
      </c>
      <c r="E11" s="133" t="s">
        <v>26</v>
      </c>
      <c r="F11" s="133" t="s">
        <v>27</v>
      </c>
      <c r="G11" s="133" t="s">
        <v>28</v>
      </c>
      <c r="H11" s="301"/>
      <c r="I11" s="140">
        <v>2023</v>
      </c>
      <c r="J11" s="140">
        <f>I11+1</f>
        <v>2024</v>
      </c>
      <c r="K11" s="140">
        <f>J11+1</f>
        <v>2025</v>
      </c>
      <c r="L11" s="133" t="s">
        <v>52</v>
      </c>
      <c r="M11" s="327"/>
    </row>
    <row r="12" spans="1:13" s="165" customFormat="1" ht="15.75" x14ac:dyDescent="0.25">
      <c r="A12" s="133">
        <v>1</v>
      </c>
      <c r="B12" s="133">
        <v>2</v>
      </c>
      <c r="C12" s="133">
        <v>3</v>
      </c>
      <c r="D12" s="133">
        <v>4</v>
      </c>
      <c r="E12" s="133">
        <v>5</v>
      </c>
      <c r="F12" s="133">
        <v>6</v>
      </c>
      <c r="G12" s="133">
        <v>7</v>
      </c>
      <c r="H12" s="301"/>
      <c r="I12" s="133">
        <v>8</v>
      </c>
      <c r="J12" s="133">
        <v>9</v>
      </c>
      <c r="K12" s="133">
        <v>10</v>
      </c>
      <c r="L12" s="133">
        <v>11</v>
      </c>
      <c r="M12" s="133">
        <v>12</v>
      </c>
    </row>
    <row r="13" spans="1:13" s="166" customFormat="1" ht="18.75" customHeight="1" x14ac:dyDescent="0.25">
      <c r="A13" s="362" t="s">
        <v>168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4"/>
    </row>
    <row r="14" spans="1:13" s="166" customFormat="1" ht="18" customHeight="1" x14ac:dyDescent="0.25">
      <c r="A14" s="362" t="s">
        <v>169</v>
      </c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4"/>
    </row>
    <row r="15" spans="1:13" s="181" customFormat="1" ht="67.5" customHeight="1" x14ac:dyDescent="0.25">
      <c r="A15" s="332" t="s">
        <v>3</v>
      </c>
      <c r="B15" s="334" t="s">
        <v>233</v>
      </c>
      <c r="C15" s="133" t="s">
        <v>65</v>
      </c>
      <c r="D15" s="133">
        <v>241</v>
      </c>
      <c r="E15" s="59" t="s">
        <v>67</v>
      </c>
      <c r="F15" s="94" t="s">
        <v>194</v>
      </c>
      <c r="G15" s="133">
        <v>244</v>
      </c>
      <c r="H15" s="301">
        <v>1</v>
      </c>
      <c r="I15" s="115">
        <f>10600+5000</f>
        <v>15600</v>
      </c>
      <c r="J15" s="115">
        <f t="shared" ref="J15:K15" si="0">10600+5000</f>
        <v>15600</v>
      </c>
      <c r="K15" s="115">
        <f t="shared" si="0"/>
        <v>15600</v>
      </c>
      <c r="L15" s="33">
        <f t="shared" ref="L15:L16" si="1">SUM(I15:K15)</f>
        <v>46800</v>
      </c>
      <c r="M15" s="332" t="s">
        <v>145</v>
      </c>
    </row>
    <row r="16" spans="1:13" s="181" customFormat="1" ht="15.75" x14ac:dyDescent="0.25">
      <c r="A16" s="333"/>
      <c r="B16" s="335"/>
      <c r="C16" s="70" t="s">
        <v>257</v>
      </c>
      <c r="D16" s="56" t="s">
        <v>30</v>
      </c>
      <c r="E16" s="56" t="s">
        <v>30</v>
      </c>
      <c r="F16" s="56" t="s">
        <v>30</v>
      </c>
      <c r="G16" s="56" t="s">
        <v>30</v>
      </c>
      <c r="H16" s="56"/>
      <c r="I16" s="57">
        <f>I15</f>
        <v>15600</v>
      </c>
      <c r="J16" s="57">
        <f t="shared" ref="J16:K16" si="2">J15</f>
        <v>15600</v>
      </c>
      <c r="K16" s="57">
        <f t="shared" si="2"/>
        <v>15600</v>
      </c>
      <c r="L16" s="60">
        <f t="shared" si="1"/>
        <v>46800</v>
      </c>
      <c r="M16" s="333"/>
    </row>
    <row r="17" spans="1:20" s="181" customFormat="1" ht="33.75" customHeight="1" outlineLevel="1" x14ac:dyDescent="0.25">
      <c r="A17" s="332" t="s">
        <v>83</v>
      </c>
      <c r="B17" s="334" t="s">
        <v>239</v>
      </c>
      <c r="C17" s="332" t="s">
        <v>94</v>
      </c>
      <c r="D17" s="332">
        <v>242</v>
      </c>
      <c r="E17" s="340" t="s">
        <v>240</v>
      </c>
      <c r="F17" s="386" t="s">
        <v>297</v>
      </c>
      <c r="G17" s="332">
        <v>244</v>
      </c>
      <c r="H17" s="302">
        <v>1</v>
      </c>
      <c r="I17" s="115">
        <v>0</v>
      </c>
      <c r="J17" s="115">
        <v>0</v>
      </c>
      <c r="K17" s="115">
        <v>0</v>
      </c>
      <c r="L17" s="127">
        <f t="shared" ref="L17:L19" si="3">SUM(I17:K17)</f>
        <v>0</v>
      </c>
      <c r="M17" s="332" t="s">
        <v>145</v>
      </c>
    </row>
    <row r="18" spans="1:20" s="181" customFormat="1" ht="33.75" customHeight="1" outlineLevel="1" x14ac:dyDescent="0.25">
      <c r="A18" s="336"/>
      <c r="B18" s="337"/>
      <c r="C18" s="333"/>
      <c r="D18" s="333"/>
      <c r="E18" s="341"/>
      <c r="F18" s="387"/>
      <c r="G18" s="333"/>
      <c r="H18" s="303">
        <v>10</v>
      </c>
      <c r="I18" s="115">
        <v>0</v>
      </c>
      <c r="J18" s="115">
        <v>0</v>
      </c>
      <c r="K18" s="115">
        <v>0</v>
      </c>
      <c r="L18" s="127">
        <f t="shared" si="3"/>
        <v>0</v>
      </c>
      <c r="M18" s="336"/>
    </row>
    <row r="19" spans="1:20" s="181" customFormat="1" ht="15.75" outlineLevel="1" x14ac:dyDescent="0.25">
      <c r="A19" s="333"/>
      <c r="B19" s="335"/>
      <c r="C19" s="56" t="s">
        <v>221</v>
      </c>
      <c r="D19" s="56" t="s">
        <v>30</v>
      </c>
      <c r="E19" s="56" t="s">
        <v>30</v>
      </c>
      <c r="F19" s="56" t="s">
        <v>30</v>
      </c>
      <c r="G19" s="56" t="s">
        <v>30</v>
      </c>
      <c r="H19" s="56"/>
      <c r="I19" s="57">
        <f>I17+I18</f>
        <v>0</v>
      </c>
      <c r="J19" s="57">
        <f t="shared" ref="J19:K19" si="4">J17+J18</f>
        <v>0</v>
      </c>
      <c r="K19" s="57">
        <f t="shared" si="4"/>
        <v>0</v>
      </c>
      <c r="L19" s="60">
        <f t="shared" si="3"/>
        <v>0</v>
      </c>
      <c r="M19" s="333"/>
    </row>
    <row r="20" spans="1:20" x14ac:dyDescent="0.25">
      <c r="A20" s="53"/>
      <c r="B20" s="54" t="s">
        <v>118</v>
      </c>
      <c r="C20" s="53" t="s">
        <v>30</v>
      </c>
      <c r="D20" s="53" t="s">
        <v>30</v>
      </c>
      <c r="E20" s="53" t="s">
        <v>30</v>
      </c>
      <c r="F20" s="53" t="s">
        <v>30</v>
      </c>
      <c r="G20" s="53" t="s">
        <v>30</v>
      </c>
      <c r="H20" s="53"/>
      <c r="I20" s="55">
        <f>I16+I19</f>
        <v>15600</v>
      </c>
      <c r="J20" s="55">
        <f t="shared" ref="J20:K20" si="5">J16+J19</f>
        <v>15600</v>
      </c>
      <c r="K20" s="55">
        <f t="shared" si="5"/>
        <v>15600</v>
      </c>
      <c r="L20" s="55">
        <f>SUM(I20:K20)</f>
        <v>46800</v>
      </c>
      <c r="M20" s="61" t="s">
        <v>30</v>
      </c>
      <c r="T20" s="155" t="s">
        <v>219</v>
      </c>
    </row>
    <row r="21" spans="1:20" x14ac:dyDescent="0.25">
      <c r="A21" s="8"/>
      <c r="B21" s="8"/>
      <c r="C21" s="8"/>
      <c r="D21" s="8"/>
      <c r="E21" s="8"/>
      <c r="F21" s="8"/>
      <c r="G21" s="8"/>
      <c r="H21" s="8"/>
      <c r="I21" s="51"/>
      <c r="J21" s="8"/>
      <c r="K21" s="8"/>
      <c r="L21" s="8"/>
      <c r="M21" s="8"/>
    </row>
    <row r="22" spans="1:20" x14ac:dyDescent="0.25">
      <c r="I22" s="183"/>
    </row>
    <row r="25" spans="1:20" x14ac:dyDescent="0.25">
      <c r="F25" s="184"/>
      <c r="G25" s="184"/>
      <c r="H25" s="184"/>
      <c r="I25" s="185"/>
    </row>
  </sheetData>
  <autoFilter ref="A10:M14">
    <filterColumn colId="3" showButton="0"/>
    <filterColumn colId="4" showButton="0"/>
    <filterColumn colId="5" showButton="0"/>
    <filterColumn colId="8" showButton="0"/>
    <filterColumn colId="9" showButton="0"/>
    <filterColumn colId="10" showButton="0"/>
  </autoFilter>
  <mergeCells count="23">
    <mergeCell ref="A8:M8"/>
    <mergeCell ref="M10:M11"/>
    <mergeCell ref="A10:A11"/>
    <mergeCell ref="B10:B11"/>
    <mergeCell ref="C10:C11"/>
    <mergeCell ref="D10:G10"/>
    <mergeCell ref="I10:L10"/>
    <mergeCell ref="F17:F18"/>
    <mergeCell ref="L1:M1"/>
    <mergeCell ref="A17:A19"/>
    <mergeCell ref="B17:B19"/>
    <mergeCell ref="M17:M19"/>
    <mergeCell ref="C17:C18"/>
    <mergeCell ref="D17:D18"/>
    <mergeCell ref="E17:E18"/>
    <mergeCell ref="G17:G18"/>
    <mergeCell ref="B15:B16"/>
    <mergeCell ref="A15:A16"/>
    <mergeCell ref="M15:M16"/>
    <mergeCell ref="A14:M14"/>
    <mergeCell ref="A13:M13"/>
    <mergeCell ref="L4:M4"/>
    <mergeCell ref="A7:M7"/>
  </mergeCells>
  <pageMargins left="0.78740157480314965" right="0.78740157480314965" top="1.1811023622047245" bottom="0.39370078740157483" header="0.31496062992125984" footer="0.31496062992125984"/>
  <pageSetup paperSize="9" scale="57" fitToHeight="0" orientation="landscape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21</vt:i4>
      </vt:variant>
    </vt:vector>
  </HeadingPairs>
  <TitlesOfParts>
    <vt:vector size="38" baseType="lpstr">
      <vt:lpstr>пр к пасп</vt:lpstr>
      <vt:lpstr>пр к пасп ПП1</vt:lpstr>
      <vt:lpstr>пр к ПП1</vt:lpstr>
      <vt:lpstr>+ пр к пасп ПП2</vt:lpstr>
      <vt:lpstr>+ пр к ПП2</vt:lpstr>
      <vt:lpstr>+ пр к пасп ПП3</vt:lpstr>
      <vt:lpstr>+пр к ПП3</vt:lpstr>
      <vt:lpstr>+пр к пасп ПП4</vt:lpstr>
      <vt:lpstr>+пр к ПП4</vt:lpstr>
      <vt:lpstr>пр 5 к МП</vt:lpstr>
      <vt:lpstr>+ Приложение 6</vt:lpstr>
      <vt:lpstr>+ Приложение 7</vt:lpstr>
      <vt:lpstr>Лист1</vt:lpstr>
      <vt:lpstr>пп1</vt:lpstr>
      <vt:lpstr>пп2</vt:lpstr>
      <vt:lpstr>пп3</vt:lpstr>
      <vt:lpstr>пп4</vt:lpstr>
      <vt:lpstr>'+ пр к пасп ПП2'!Заголовки_для_печати</vt:lpstr>
      <vt:lpstr>'+ пр к пасп ПП3'!Заголовки_для_печати</vt:lpstr>
      <vt:lpstr>'+ Приложение 6'!Заголовки_для_печати</vt:lpstr>
      <vt:lpstr>'+ Приложение 7'!Заголовки_для_печати</vt:lpstr>
      <vt:lpstr>'+пр к пасп ПП4'!Заголовки_для_печати</vt:lpstr>
      <vt:lpstr>'+пр к ПП3'!Заголовки_для_печати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'+ пр к пасп ПП2'!Область_печати</vt:lpstr>
      <vt:lpstr>'+ пр к пасп ПП3'!Область_печати</vt:lpstr>
      <vt:lpstr>'+ пр к ПП2'!Область_печати</vt:lpstr>
      <vt:lpstr>'+ Приложение 6'!Область_печати</vt:lpstr>
      <vt:lpstr>'+ Приложение 7'!Область_печати</vt:lpstr>
      <vt:lpstr>'+пр к ПП3'!Область_печати</vt:lpstr>
      <vt:lpstr>'+пр к ПП4'!Область_печати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Пользователь</cp:lastModifiedBy>
  <cp:lastPrinted>2022-12-13T05:48:08Z</cp:lastPrinted>
  <dcterms:created xsi:type="dcterms:W3CDTF">2016-10-20T04:37:12Z</dcterms:created>
  <dcterms:modified xsi:type="dcterms:W3CDTF">2022-12-13T05:48:10Z</dcterms:modified>
</cp:coreProperties>
</file>