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0\Муниципальные программы проекты на 2021-2023 год\969-п     09    + транспорт на 2021\"/>
    </mc:Choice>
  </mc:AlternateContent>
  <bookViews>
    <workbookView xWindow="0" yWindow="0" windowWidth="27870" windowHeight="12420" tabRatio="899" activeTab="11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к пасп ПП3" sheetId="19" r:id="rId6"/>
    <sheet name="пр к ПП3" sheetId="16" r:id="rId7"/>
    <sheet name="пр к пасп ПП4" sheetId="20" r:id="rId8"/>
    <sheet name="пр к ПП4" sheetId="17" r:id="rId9"/>
    <sheet name="пр 5 к МП" sheetId="3" r:id="rId10"/>
    <sheet name="пр 6 к МП" sheetId="5" r:id="rId11"/>
    <sheet name="пр 7 к МП" sheetId="6" r:id="rId12"/>
    <sheet name="пп1" sheetId="22" state="hidden" r:id="rId13"/>
    <sheet name="пп2" sheetId="21" state="hidden" r:id="rId14"/>
    <sheet name="пп3" sheetId="24" state="hidden" r:id="rId15"/>
    <sheet name="пп4" sheetId="25" state="hidden" r:id="rId16"/>
  </sheet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10">'пр 6 к МП'!$14:$16</definedName>
    <definedName name="_xlnm.Print_Titles" localSheetId="11">'пр 7 к МП'!$16:$18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Area" localSheetId="10">'пр 6 к МП'!$A$1:$L$44</definedName>
    <definedName name="_xlnm.Print_Area" localSheetId="11">'пр 7 к МП'!$A$1:$R$53</definedName>
    <definedName name="_xlnm.Print_Area" localSheetId="0">'пр к пасп'!$A$1:$P$29</definedName>
    <definedName name="_xlnm.Print_Area" localSheetId="1">'пр к пасп ПП1'!$A$4:$H$18</definedName>
    <definedName name="_xlnm.Print_Area" localSheetId="3">'пр к пасп ПП2'!$A$1:$H$24</definedName>
    <definedName name="_xlnm.Print_Area" localSheetId="5">'пр к пасп ПП3'!$A$1:$I$21</definedName>
    <definedName name="_xlnm.Print_Area" localSheetId="2">'пр к ПП1'!$A$1:$L$33</definedName>
    <definedName name="_xlnm.Print_Area" localSheetId="4">'пр к ПП2'!$A$1:$L$35</definedName>
    <definedName name="_xlnm.Print_Area" localSheetId="6">'пр к ПП3'!$A$1:$L$24</definedName>
    <definedName name="_xlnm.Print_Area" localSheetId="8">'пр к ПП4'!$A$1:$L$25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6" l="1"/>
  <c r="L22" i="6" l="1"/>
  <c r="E19" i="6"/>
  <c r="Q29" i="6" l="1"/>
  <c r="N23" i="8" l="1"/>
  <c r="N24" i="8" s="1"/>
  <c r="N22" i="8"/>
  <c r="T19" i="6"/>
  <c r="T18" i="6"/>
  <c r="I26" i="5" l="1"/>
  <c r="S35" i="6" l="1"/>
  <c r="T35" i="6"/>
  <c r="U35" i="6" s="1"/>
  <c r="E15" i="19" l="1"/>
  <c r="F15" i="18" l="1"/>
  <c r="G15" i="18"/>
  <c r="H15" i="18"/>
  <c r="E15" i="18"/>
  <c r="K24" i="2"/>
  <c r="L24" i="2" s="1"/>
  <c r="M24" i="2" s="1"/>
  <c r="N24" i="2" s="1"/>
  <c r="O24" i="2" s="1"/>
  <c r="P24" i="2" s="1"/>
  <c r="K23" i="2"/>
  <c r="L23" i="2" s="1"/>
  <c r="W19" i="2"/>
  <c r="U20" i="2"/>
  <c r="J22" i="2"/>
  <c r="M23" i="2" l="1"/>
  <c r="E16" i="18"/>
  <c r="E18" i="7"/>
  <c r="F18" i="7" s="1"/>
  <c r="G18" i="7" s="1"/>
  <c r="E17" i="7"/>
  <c r="F17" i="7" s="1"/>
  <c r="G17" i="7" s="1"/>
  <c r="K21" i="6"/>
  <c r="K22" i="6"/>
  <c r="Q22" i="6" s="1"/>
  <c r="K23" i="6"/>
  <c r="K24" i="6"/>
  <c r="K25" i="6"/>
  <c r="K26" i="6"/>
  <c r="Q26" i="6" s="1"/>
  <c r="K40" i="6"/>
  <c r="K47" i="6"/>
  <c r="K19" i="6" l="1"/>
  <c r="N23" i="2"/>
  <c r="F16" i="18"/>
  <c r="J20" i="15"/>
  <c r="I20" i="15"/>
  <c r="H20" i="15"/>
  <c r="K20" i="15" s="1"/>
  <c r="O23" i="2" l="1"/>
  <c r="G16" i="18"/>
  <c r="K17" i="15"/>
  <c r="S21" i="15"/>
  <c r="S22" i="15"/>
  <c r="S23" i="15"/>
  <c r="Q25" i="15"/>
  <c r="S18" i="15"/>
  <c r="S25" i="15" s="1"/>
  <c r="S27" i="15" s="1"/>
  <c r="S28" i="15" s="1"/>
  <c r="P23" i="2" l="1"/>
  <c r="H16" i="18"/>
  <c r="J34" i="15"/>
  <c r="I34" i="15"/>
  <c r="H34" i="15"/>
  <c r="K33" i="15"/>
  <c r="K34" i="15" s="1"/>
  <c r="J31" i="15"/>
  <c r="I31" i="15"/>
  <c r="H31" i="15"/>
  <c r="K30" i="15"/>
  <c r="K31" i="15" s="1"/>
  <c r="H22" i="18"/>
  <c r="H19" i="18"/>
  <c r="L29" i="6"/>
  <c r="M29" i="6" l="1"/>
  <c r="N29" i="6"/>
  <c r="O29" i="6" l="1"/>
  <c r="J39" i="5"/>
  <c r="K39" i="5"/>
  <c r="J26" i="5"/>
  <c r="K26" i="5"/>
  <c r="J25" i="5"/>
  <c r="J23" i="5" s="1"/>
  <c r="J29" i="6"/>
  <c r="J30" i="6"/>
  <c r="J32" i="8" l="1"/>
  <c r="I32" i="8"/>
  <c r="H32" i="8"/>
  <c r="K32" i="8" l="1"/>
  <c r="L30" i="6"/>
  <c r="L26" i="6" s="1"/>
  <c r="J51" i="6"/>
  <c r="X51" i="6"/>
  <c r="U51" i="6"/>
  <c r="U50" i="6"/>
  <c r="J50" i="6"/>
  <c r="J33" i="6" l="1"/>
  <c r="M43" i="6" l="1"/>
  <c r="N43" i="6"/>
  <c r="L43" i="6"/>
  <c r="J23" i="16"/>
  <c r="I23" i="16"/>
  <c r="H23" i="16"/>
  <c r="K22" i="16"/>
  <c r="K20" i="8"/>
  <c r="K23" i="16" l="1"/>
  <c r="I28" i="15"/>
  <c r="J28" i="15"/>
  <c r="H28" i="15"/>
  <c r="K27" i="15"/>
  <c r="K28" i="15" s="1"/>
  <c r="M26" i="2" l="1"/>
  <c r="L50" i="6" l="1"/>
  <c r="L51" i="6"/>
  <c r="J22" i="6"/>
  <c r="J21" i="6"/>
  <c r="J24" i="6"/>
  <c r="J25" i="6"/>
  <c r="J44" i="6"/>
  <c r="J23" i="6" s="1"/>
  <c r="J47" i="6"/>
  <c r="Y51" i="6" s="1"/>
  <c r="J40" i="6" l="1"/>
  <c r="J26" i="6"/>
  <c r="C19" i="6"/>
  <c r="J19" i="6" l="1"/>
  <c r="B6" i="25"/>
  <c r="G5" i="22"/>
  <c r="H5" i="22"/>
  <c r="G25" i="22"/>
  <c r="H25" i="22"/>
  <c r="G23" i="22"/>
  <c r="H23" i="22"/>
  <c r="G24" i="22"/>
  <c r="H24" i="22"/>
  <c r="H9" i="24" l="1"/>
  <c r="H10" i="24"/>
  <c r="E8" i="24"/>
  <c r="B11" i="24"/>
  <c r="G15" i="22"/>
  <c r="H15" i="22"/>
  <c r="G17" i="22"/>
  <c r="H17" i="22"/>
  <c r="G19" i="22"/>
  <c r="H19" i="22"/>
  <c r="G6" i="22"/>
  <c r="H6" i="22"/>
  <c r="G7" i="22"/>
  <c r="H7" i="22"/>
  <c r="G8" i="22"/>
  <c r="H8" i="22"/>
  <c r="G9" i="22"/>
  <c r="H9" i="22"/>
  <c r="G10" i="22"/>
  <c r="H10" i="22"/>
  <c r="G11" i="22"/>
  <c r="H11" i="22"/>
  <c r="G12" i="22"/>
  <c r="H12" i="22"/>
  <c r="H53" i="22"/>
  <c r="G53" i="22"/>
  <c r="F53" i="22"/>
  <c r="G42" i="22"/>
  <c r="H42" i="22"/>
  <c r="F42" i="22"/>
  <c r="N14" i="22"/>
  <c r="G14" i="22" s="1"/>
  <c r="O14" i="22"/>
  <c r="H14" i="22" s="1"/>
  <c r="N15" i="22"/>
  <c r="O15" i="22"/>
  <c r="N16" i="22"/>
  <c r="G16" i="22" s="1"/>
  <c r="O16" i="22"/>
  <c r="H16" i="22" s="1"/>
  <c r="N17" i="22"/>
  <c r="O17" i="22"/>
  <c r="N18" i="22"/>
  <c r="G18" i="22" s="1"/>
  <c r="O18" i="22"/>
  <c r="H18" i="22" s="1"/>
  <c r="N19" i="22"/>
  <c r="O19" i="22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O6" i="22"/>
  <c r="N7" i="22"/>
  <c r="O7" i="22"/>
  <c r="N8" i="22"/>
  <c r="O8" i="22"/>
  <c r="N9" i="22"/>
  <c r="O9" i="22"/>
  <c r="N10" i="22"/>
  <c r="O10" i="22"/>
  <c r="N11" i="22"/>
  <c r="O11" i="22"/>
  <c r="N12" i="22"/>
  <c r="O12" i="22"/>
  <c r="M6" i="22"/>
  <c r="F24" i="22"/>
  <c r="F23" i="22"/>
  <c r="C25" i="22"/>
  <c r="C23" i="22"/>
  <c r="C22" i="22"/>
  <c r="C21" i="22"/>
  <c r="C13" i="22"/>
  <c r="C5" i="22"/>
  <c r="H13" i="22" l="1"/>
  <c r="G13" i="22"/>
  <c r="O13" i="22"/>
  <c r="N13" i="22"/>
  <c r="O5" i="22"/>
  <c r="N5" i="22"/>
  <c r="K29" i="8" l="1"/>
  <c r="H30" i="8"/>
  <c r="I30" i="8"/>
  <c r="J30" i="8"/>
  <c r="I26" i="8"/>
  <c r="J26" i="8"/>
  <c r="H26" i="8"/>
  <c r="K25" i="8"/>
  <c r="I24" i="22" s="1"/>
  <c r="K30" i="8" l="1"/>
  <c r="H47" i="6"/>
  <c r="E10" i="21" l="1"/>
  <c r="E11" i="21"/>
  <c r="E8" i="21" s="1"/>
  <c r="E12" i="21"/>
  <c r="E9" i="21"/>
  <c r="F7" i="21"/>
  <c r="G7" i="21"/>
  <c r="F25" i="22" l="1"/>
  <c r="J28" i="8"/>
  <c r="I28" i="8"/>
  <c r="H28" i="8"/>
  <c r="K27" i="8"/>
  <c r="I25" i="22" s="1"/>
  <c r="K28" i="8" l="1"/>
  <c r="M30" i="6" l="1"/>
  <c r="K25" i="5"/>
  <c r="K23" i="5" s="1"/>
  <c r="K29" i="5" l="1"/>
  <c r="J29" i="5"/>
  <c r="N30" i="6"/>
  <c r="G17" i="19"/>
  <c r="F17" i="19"/>
  <c r="G16" i="19"/>
  <c r="H16" i="19"/>
  <c r="I16" i="19"/>
  <c r="F16" i="19"/>
  <c r="G15" i="19" l="1"/>
  <c r="F15" i="19"/>
  <c r="J15" i="17"/>
  <c r="K38" i="5" s="1"/>
  <c r="K36" i="5" s="1"/>
  <c r="J38" i="5"/>
  <c r="J36" i="5" s="1"/>
  <c r="Q53" i="6"/>
  <c r="Q52" i="6"/>
  <c r="Q49" i="6"/>
  <c r="Q48" i="6"/>
  <c r="Q46" i="6"/>
  <c r="Q45" i="6"/>
  <c r="Q42" i="6"/>
  <c r="Q41" i="6"/>
  <c r="Q39" i="6"/>
  <c r="Q38" i="6"/>
  <c r="Q36" i="6"/>
  <c r="Q35" i="6"/>
  <c r="Q34" i="6"/>
  <c r="Q32" i="6"/>
  <c r="Q31" i="6"/>
  <c r="Q28" i="6"/>
  <c r="Q27" i="6"/>
  <c r="J14" i="5"/>
  <c r="G4" i="22" s="1"/>
  <c r="K14" i="5"/>
  <c r="H4" i="22" s="1"/>
  <c r="I14" i="5"/>
  <c r="F4" i="22" s="1"/>
  <c r="M21" i="6"/>
  <c r="N21" i="6"/>
  <c r="M24" i="6"/>
  <c r="N24" i="6"/>
  <c r="M25" i="6"/>
  <c r="N25" i="6"/>
  <c r="M44" i="6"/>
  <c r="N44" i="6"/>
  <c r="M50" i="6"/>
  <c r="N50" i="6"/>
  <c r="M51" i="6"/>
  <c r="N51" i="6"/>
  <c r="L44" i="6"/>
  <c r="O53" i="6"/>
  <c r="O52" i="6"/>
  <c r="O49" i="6"/>
  <c r="O46" i="6"/>
  <c r="O45" i="6"/>
  <c r="O42" i="6"/>
  <c r="O39" i="6"/>
  <c r="O38" i="6"/>
  <c r="O36" i="6"/>
  <c r="O35" i="6"/>
  <c r="O32" i="6"/>
  <c r="O31" i="6"/>
  <c r="O28" i="6"/>
  <c r="F11" i="18"/>
  <c r="G11" i="18"/>
  <c r="H11" i="18"/>
  <c r="E11" i="18"/>
  <c r="H18" i="7"/>
  <c r="H17" i="7"/>
  <c r="N4" i="22" l="1"/>
  <c r="F4" i="24"/>
  <c r="G34" i="22"/>
  <c r="G45" i="22" s="1"/>
  <c r="M4" i="22"/>
  <c r="E4" i="24"/>
  <c r="F34" i="22"/>
  <c r="F45" i="22" s="1"/>
  <c r="O4" i="22"/>
  <c r="G4" i="24"/>
  <c r="H34" i="22"/>
  <c r="H45" i="22" s="1"/>
  <c r="O51" i="6"/>
  <c r="M47" i="6"/>
  <c r="N47" i="6"/>
  <c r="N22" i="6"/>
  <c r="O43" i="6"/>
  <c r="O44" i="6"/>
  <c r="M22" i="6"/>
  <c r="O30" i="6"/>
  <c r="N40" i="6"/>
  <c r="M40" i="6"/>
  <c r="N26" i="6"/>
  <c r="O50" i="6"/>
  <c r="M26" i="6"/>
  <c r="O26" i="6" l="1"/>
  <c r="F15" i="21"/>
  <c r="G15" i="21"/>
  <c r="E15" i="21"/>
  <c r="B15" i="21"/>
  <c r="J31" i="5" l="1"/>
  <c r="K31" i="5"/>
  <c r="I31" i="5"/>
  <c r="J25" i="15"/>
  <c r="I25" i="15"/>
  <c r="H25" i="15"/>
  <c r="K24" i="15"/>
  <c r="H15" i="21" s="1"/>
  <c r="K25" i="15" l="1"/>
  <c r="L31" i="5"/>
  <c r="F6" i="25" l="1"/>
  <c r="G6" i="25"/>
  <c r="K19" i="2" l="1"/>
  <c r="L19" i="2" s="1"/>
  <c r="M19" i="2" s="1"/>
  <c r="K18" i="2"/>
  <c r="L18" i="2" l="1"/>
  <c r="O18" i="2"/>
  <c r="P18" i="2" s="1"/>
  <c r="O19" i="2"/>
  <c r="P19" i="2" s="1"/>
  <c r="G21" i="2"/>
  <c r="J21" i="16" l="1"/>
  <c r="I21" i="16"/>
  <c r="H21" i="16"/>
  <c r="K20" i="16"/>
  <c r="K21" i="16" l="1"/>
  <c r="E8" i="25"/>
  <c r="E7" i="25"/>
  <c r="E6" i="25" l="1"/>
  <c r="E7" i="21"/>
  <c r="H7" i="21"/>
  <c r="Q51" i="6"/>
  <c r="Q50" i="6"/>
  <c r="Q30" i="6"/>
  <c r="K18" i="17" l="1"/>
  <c r="H8" i="25" s="1"/>
  <c r="H19" i="17"/>
  <c r="I39" i="5" s="1"/>
  <c r="K24" i="8"/>
  <c r="I23" i="22" s="1"/>
  <c r="K17" i="17" l="1"/>
  <c r="H7" i="25" s="1"/>
  <c r="H6" i="25" s="1"/>
  <c r="J19" i="17"/>
  <c r="I19" i="17"/>
  <c r="K26" i="8"/>
  <c r="K19" i="17" l="1"/>
  <c r="L39" i="5" s="1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K34" i="5" l="1"/>
  <c r="J24" i="16"/>
  <c r="K32" i="5" s="1"/>
  <c r="J34" i="5"/>
  <c r="I24" i="16"/>
  <c r="J32" i="5" s="1"/>
  <c r="H24" i="16"/>
  <c r="I34" i="5"/>
  <c r="K17" i="16"/>
  <c r="K19" i="16"/>
  <c r="L34" i="5" l="1"/>
  <c r="K24" i="16"/>
  <c r="L32" i="5" s="1"/>
  <c r="E14" i="24"/>
  <c r="E15" i="24" s="1"/>
  <c r="I32" i="5"/>
  <c r="F14" i="24"/>
  <c r="F15" i="24" s="1"/>
  <c r="M64" i="6"/>
  <c r="M70" i="6"/>
  <c r="N64" i="6"/>
  <c r="N70" i="6"/>
  <c r="G14" i="24"/>
  <c r="G15" i="24" s="1"/>
  <c r="H21" i="6"/>
  <c r="H22" i="6"/>
  <c r="H23" i="6"/>
  <c r="H24" i="6"/>
  <c r="H25" i="6"/>
  <c r="H40" i="6"/>
  <c r="H33" i="6"/>
  <c r="H26" i="6"/>
  <c r="H14" i="24" l="1"/>
  <c r="H15" i="24" s="1"/>
  <c r="H19" i="6"/>
  <c r="G18" i="19" l="1"/>
  <c r="G19" i="19" s="1"/>
  <c r="H16" i="17"/>
  <c r="H20" i="17" s="1"/>
  <c r="H18" i="15"/>
  <c r="I16" i="15"/>
  <c r="H16" i="15"/>
  <c r="I16" i="8"/>
  <c r="J16" i="8"/>
  <c r="I18" i="8"/>
  <c r="J18" i="8"/>
  <c r="I23" i="8"/>
  <c r="J23" i="8"/>
  <c r="H23" i="8"/>
  <c r="H21" i="8"/>
  <c r="H33" i="8" s="1"/>
  <c r="H18" i="8"/>
  <c r="H16" i="8"/>
  <c r="L37" i="6" l="1"/>
  <c r="L23" i="6" s="1"/>
  <c r="I29" i="5"/>
  <c r="H35" i="15"/>
  <c r="H35" i="8"/>
  <c r="H36" i="8"/>
  <c r="I21" i="8"/>
  <c r="I33" i="8" s="1"/>
  <c r="K22" i="15"/>
  <c r="J23" i="15"/>
  <c r="I23" i="15"/>
  <c r="H23" i="15"/>
  <c r="J16" i="15"/>
  <c r="L19" i="6" l="1"/>
  <c r="K16" i="15"/>
  <c r="L33" i="6"/>
  <c r="M62" i="6"/>
  <c r="M68" i="6"/>
  <c r="K23" i="15"/>
  <c r="I18" i="15"/>
  <c r="I35" i="15" s="1"/>
  <c r="J21" i="8"/>
  <c r="J33" i="8" s="1"/>
  <c r="E5" i="25"/>
  <c r="E9" i="25" s="1"/>
  <c r="M37" i="6" l="1"/>
  <c r="N68" i="6"/>
  <c r="N62" i="6"/>
  <c r="P70" i="6"/>
  <c r="P69" i="6"/>
  <c r="P64" i="6"/>
  <c r="P63" i="6"/>
  <c r="K23" i="8"/>
  <c r="K22" i="8"/>
  <c r="I38" i="5"/>
  <c r="I19" i="5" s="1"/>
  <c r="M23" i="6" l="1"/>
  <c r="M33" i="6"/>
  <c r="M19" i="6"/>
  <c r="M69" i="6"/>
  <c r="I36" i="5"/>
  <c r="I51" i="5" s="1"/>
  <c r="M63" i="6" l="1"/>
  <c r="I57" i="5"/>
  <c r="F5" i="25"/>
  <c r="F9" i="25" s="1"/>
  <c r="I16" i="17"/>
  <c r="I20" i="17" s="1"/>
  <c r="M65" i="6" l="1"/>
  <c r="M71" i="6"/>
  <c r="J57" i="5"/>
  <c r="J19" i="5"/>
  <c r="G5" i="25"/>
  <c r="G9" i="25" s="1"/>
  <c r="J16" i="17"/>
  <c r="J20" i="17" s="1"/>
  <c r="K15" i="17"/>
  <c r="L38" i="5" s="1"/>
  <c r="L36" i="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N71" i="6" l="1"/>
  <c r="N65" i="6"/>
  <c r="K57" i="5"/>
  <c r="I7" i="22"/>
  <c r="I11" i="22"/>
  <c r="I6" i="22"/>
  <c r="K16" i="17"/>
  <c r="J51" i="5"/>
  <c r="H5" i="25"/>
  <c r="H9" i="25" s="1"/>
  <c r="P5" i="22"/>
  <c r="P13" i="22"/>
  <c r="E22" i="6"/>
  <c r="G28" i="22" l="1"/>
  <c r="I10" i="22"/>
  <c r="K51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Q44" i="6"/>
  <c r="Q43" i="6"/>
  <c r="H6" i="21" l="1"/>
  <c r="L40" i="6"/>
  <c r="H5" i="24"/>
  <c r="H12" i="24" s="1"/>
  <c r="I40" i="6"/>
  <c r="H14" i="21"/>
  <c r="H13" i="21"/>
  <c r="E30" i="5"/>
  <c r="E39" i="5" s="1"/>
  <c r="E35" i="5"/>
  <c r="J21" i="5"/>
  <c r="K21" i="5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L70" i="6" l="1"/>
  <c r="L64" i="6"/>
  <c r="O40" i="6"/>
  <c r="I55" i="5"/>
  <c r="I70" i="6"/>
  <c r="L22" i="5"/>
  <c r="L35" i="5"/>
  <c r="L30" i="5"/>
  <c r="O64" i="6" l="1"/>
  <c r="O70" i="6"/>
  <c r="I49" i="5"/>
  <c r="J56" i="5"/>
  <c r="J50" i="5"/>
  <c r="K56" i="5"/>
  <c r="K50" i="5"/>
  <c r="W22" i="2" l="1"/>
  <c r="U22" i="2"/>
  <c r="O22" i="6" l="1"/>
  <c r="I23" i="6" l="1"/>
  <c r="I21" i="6"/>
  <c r="G22" i="6" l="1"/>
  <c r="G23" i="6"/>
  <c r="F22" i="6" l="1"/>
  <c r="F23" i="6"/>
  <c r="E23" i="6" l="1"/>
  <c r="E26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L26" i="5" l="1"/>
  <c r="G10" i="21"/>
  <c r="G8" i="21" s="1"/>
  <c r="G16" i="21" s="1"/>
  <c r="F8" i="21"/>
  <c r="H9" i="21"/>
  <c r="H12" i="21"/>
  <c r="H11" i="21"/>
  <c r="K21" i="8"/>
  <c r="K19" i="8"/>
  <c r="L25" i="5" s="1"/>
  <c r="L23" i="5" s="1"/>
  <c r="P26" i="6" s="1"/>
  <c r="K18" i="8"/>
  <c r="K16" i="8"/>
  <c r="I22" i="6"/>
  <c r="I26" i="6"/>
  <c r="H21" i="22"/>
  <c r="U24" i="2"/>
  <c r="V24" i="2" s="1"/>
  <c r="U23" i="2"/>
  <c r="F22" i="2"/>
  <c r="T24" i="2"/>
  <c r="E22" i="2"/>
  <c r="T23" i="2"/>
  <c r="K33" i="8" l="1"/>
  <c r="H26" i="22"/>
  <c r="I13" i="22"/>
  <c r="H10" i="21"/>
  <c r="H8" i="21"/>
  <c r="H16" i="21" s="1"/>
  <c r="F16" i="21"/>
  <c r="F19" i="21" s="1"/>
  <c r="I17" i="19"/>
  <c r="I15" i="19" s="1"/>
  <c r="H17" i="19"/>
  <c r="H21" i="2"/>
  <c r="V23" i="2"/>
  <c r="V22" i="2" s="1"/>
  <c r="T22" i="2" s="1"/>
  <c r="I68" i="6"/>
  <c r="I21" i="22"/>
  <c r="H15" i="19" l="1"/>
  <c r="H18" i="19"/>
  <c r="H19" i="19" s="1"/>
  <c r="E19" i="2"/>
  <c r="D19" i="2" s="1"/>
  <c r="E18" i="2"/>
  <c r="D18" i="2" s="1"/>
  <c r="B26" i="3"/>
  <c r="I18" i="19" l="1"/>
  <c r="I19" i="19" s="1"/>
  <c r="B27" i="2"/>
  <c r="B25" i="2"/>
  <c r="J21" i="2" l="1"/>
  <c r="I27" i="16"/>
  <c r="J27" i="16"/>
  <c r="H27" i="16"/>
  <c r="K21" i="2" l="1"/>
  <c r="H37" i="15"/>
  <c r="L21" i="2" l="1"/>
  <c r="M21" i="2" s="1"/>
  <c r="N21" i="2" s="1"/>
  <c r="K26" i="7"/>
  <c r="P21" i="2" l="1"/>
  <c r="O21" i="2"/>
  <c r="G47" i="6"/>
  <c r="F47" i="6"/>
  <c r="E47" i="6"/>
  <c r="G40" i="6"/>
  <c r="F40" i="6"/>
  <c r="E40" i="6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Q40" i="6" l="1"/>
  <c r="G19" i="6"/>
  <c r="F19" i="6"/>
  <c r="E34" i="5" l="1"/>
  <c r="B17" i="2"/>
  <c r="B20" i="2"/>
  <c r="E21" i="2"/>
  <c r="F21" i="2"/>
  <c r="I21" i="2"/>
  <c r="D21" i="2"/>
  <c r="A14" i="19"/>
  <c r="A13" i="19"/>
  <c r="A14" i="18"/>
  <c r="A13" i="18"/>
  <c r="L5" i="6"/>
  <c r="J5" i="5"/>
  <c r="I28" i="16"/>
  <c r="J28" i="16"/>
  <c r="H28" i="16"/>
  <c r="B21" i="3"/>
  <c r="D2" i="3"/>
  <c r="A9" i="3"/>
  <c r="B15" i="3"/>
  <c r="K28" i="16" l="1"/>
  <c r="I47" i="6" l="1"/>
  <c r="L25" i="6"/>
  <c r="O25" i="6" s="1"/>
  <c r="I25" i="6"/>
  <c r="Q25" i="6" s="1"/>
  <c r="L24" i="6"/>
  <c r="O24" i="6" s="1"/>
  <c r="I24" i="6"/>
  <c r="L21" i="6"/>
  <c r="C47" i="6"/>
  <c r="C40" i="6"/>
  <c r="C33" i="6"/>
  <c r="C26" i="6"/>
  <c r="E29" i="5"/>
  <c r="E38" i="5" s="1"/>
  <c r="E26" i="5"/>
  <c r="E31" i="5" s="1"/>
  <c r="E25" i="5"/>
  <c r="I21" i="5"/>
  <c r="J20" i="5"/>
  <c r="J17" i="5" s="1"/>
  <c r="K20" i="5"/>
  <c r="I25" i="5"/>
  <c r="I20" i="5" s="1"/>
  <c r="L18" i="5"/>
  <c r="L24" i="5"/>
  <c r="L28" i="5"/>
  <c r="L33" i="5"/>
  <c r="L37" i="5"/>
  <c r="I17" i="5" l="1"/>
  <c r="Q24" i="6"/>
  <c r="O21" i="6"/>
  <c r="Q21" i="6"/>
  <c r="R26" i="6"/>
  <c r="L62" i="6"/>
  <c r="L68" i="6"/>
  <c r="I71" i="6"/>
  <c r="R40" i="6"/>
  <c r="I23" i="5"/>
  <c r="I48" i="5" s="1"/>
  <c r="L20" i="5"/>
  <c r="A11" i="20"/>
  <c r="A10" i="20"/>
  <c r="K27" i="16"/>
  <c r="H38" i="15"/>
  <c r="I29" i="22"/>
  <c r="O68" i="6" l="1"/>
  <c r="O62" i="6"/>
  <c r="I50" i="5"/>
  <c r="I56" i="5"/>
  <c r="K54" i="5"/>
  <c r="K48" i="5"/>
  <c r="J54" i="5"/>
  <c r="J48" i="5"/>
  <c r="I54" i="5"/>
  <c r="I37" i="15"/>
  <c r="I22" i="22"/>
  <c r="I26" i="22" s="1"/>
  <c r="I30" i="22"/>
  <c r="H39" i="15"/>
  <c r="L21" i="5"/>
  <c r="J55" i="5" l="1"/>
  <c r="J49" i="5"/>
  <c r="P62" i="6"/>
  <c r="P68" i="6"/>
  <c r="P40" i="6"/>
  <c r="L56" i="5"/>
  <c r="L50" i="5"/>
  <c r="L54" i="5"/>
  <c r="L48" i="5"/>
  <c r="I38" i="15"/>
  <c r="K20" i="17"/>
  <c r="J37" i="15"/>
  <c r="L47" i="6"/>
  <c r="Q47" i="6" s="1"/>
  <c r="I33" i="6"/>
  <c r="I39" i="15"/>
  <c r="K15" i="15"/>
  <c r="L71" i="6" l="1"/>
  <c r="L65" i="6"/>
  <c r="O47" i="6"/>
  <c r="P47" i="6" s="1"/>
  <c r="L51" i="5"/>
  <c r="J38" i="15"/>
  <c r="J18" i="15"/>
  <c r="J35" i="15" s="1"/>
  <c r="K38" i="15"/>
  <c r="I19" i="6"/>
  <c r="I69" i="6"/>
  <c r="L57" i="5"/>
  <c r="K37" i="15"/>
  <c r="R47" i="6"/>
  <c r="N37" i="6" l="1"/>
  <c r="L29" i="5"/>
  <c r="L27" i="5" s="1"/>
  <c r="K18" i="15"/>
  <c r="K35" i="15" s="1"/>
  <c r="K27" i="5"/>
  <c r="G19" i="21"/>
  <c r="O71" i="6"/>
  <c r="O65" i="6"/>
  <c r="K19" i="5"/>
  <c r="K17" i="5" s="1"/>
  <c r="L17" i="5" s="1"/>
  <c r="L69" i="6"/>
  <c r="L63" i="6"/>
  <c r="J39" i="15"/>
  <c r="N23" i="6" l="1"/>
  <c r="Q23" i="6" s="1"/>
  <c r="N33" i="6"/>
  <c r="H19" i="21"/>
  <c r="O37" i="6"/>
  <c r="O23" i="6" s="1"/>
  <c r="O19" i="6" s="1"/>
  <c r="P19" i="6" s="1"/>
  <c r="Q37" i="6"/>
  <c r="K55" i="5"/>
  <c r="K49" i="5"/>
  <c r="L19" i="5"/>
  <c r="K39" i="15"/>
  <c r="L55" i="5"/>
  <c r="L49" i="5"/>
  <c r="P65" i="6"/>
  <c r="P71" i="6"/>
  <c r="N19" i="6" l="1"/>
  <c r="Q19" i="6" s="1"/>
  <c r="N63" i="6"/>
  <c r="N69" i="6"/>
  <c r="Q33" i="6"/>
  <c r="R33" i="6" s="1"/>
  <c r="O33" i="6"/>
  <c r="P33" i="6" s="1"/>
  <c r="R19" i="6" l="1"/>
  <c r="O63" i="6"/>
  <c r="O69" i="6"/>
</calcChain>
</file>

<file path=xl/sharedStrings.xml><?xml version="1.0" encoding="utf-8"?>
<sst xmlns="http://schemas.openxmlformats.org/spreadsheetml/2006/main" count="909" uniqueCount="340">
  <si>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</si>
  <si>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</si>
  <si>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</si>
  <si>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</si>
  <si>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</si>
  <si>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</si>
  <si>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</si>
  <si>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</si>
  <si>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</si>
  <si>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</si>
  <si>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</si>
  <si>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</si>
  <si>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</si>
  <si>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</si>
  <si>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</si>
  <si>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</si>
  <si>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</si>
  <si>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</si>
  <si>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</si>
  <si>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</si>
  <si>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</si>
  <si>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</si>
  <si>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</si>
  <si>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</si>
  <si>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</si>
  <si>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</si>
  <si>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</si>
  <si>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</si>
  <si>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</si>
  <si>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</si>
  <si>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</si>
  <si>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</si>
  <si>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</si>
  <si>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</si>
  <si>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</si>
  <si>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</si>
  <si>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</si>
  <si>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</si>
  <si>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</si>
  <si>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</si>
  <si>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</si>
  <si>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</si>
  <si>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</si>
  <si>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</si>
  <si>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</si>
  <si>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</si>
  <si>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</si>
  <si>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</si>
  <si>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</si>
  <si>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</si>
  <si>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</si>
  <si>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</si>
  <si>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</si>
  <si>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</si>
  <si>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</si>
  <si>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</si>
  <si>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</si>
  <si>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</si>
  <si>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</si>
  <si>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</si>
  <si>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</si>
  <si>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</si>
  <si>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</si>
  <si>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</si>
  <si>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</si>
  <si>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</si>
  <si>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</si>
  <si>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</si>
  <si>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</si>
  <si>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</si>
  <si>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</si>
  <si>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</si>
  <si>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</si>
  <si>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</si>
  <si>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</si>
  <si>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</si>
  <si>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</si>
  <si>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</si>
  <si>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</si>
  <si>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</si>
  <si>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</si>
  <si>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</si>
  <si>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</si>
  <si>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</si>
  <si>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</si>
  <si>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</si>
  <si>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</si>
  <si>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</si>
  <si>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</si>
  <si>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</si>
  <si>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</si>
  <si>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</si>
  <si>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</si>
  <si>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</si>
  <si>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</si>
  <si>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</si>
  <si>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</si>
  <si>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</si>
  <si>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</si>
  <si>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</si>
  <si>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</si>
  <si>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</si>
  <si>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</si>
  <si>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</si>
  <si>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</si>
  <si>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</si>
  <si>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</si>
  <si>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</si>
  <si>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</si>
  <si>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</si>
  <si>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</si>
  <si>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</si>
  <si>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</si>
  <si>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</si>
  <si>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</si>
  <si>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</si>
  <si>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</si>
  <si>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</si>
  <si>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</si>
  <si>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</si>
  <si>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</si>
  <si>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</si>
  <si>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</si>
  <si>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</si>
  <si>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</si>
  <si>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</si>
  <si>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</si>
  <si>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</si>
  <si>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</si>
  <si>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</si>
  <si>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</si>
  <si>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</si>
  <si>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</si>
  <si>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</si>
  <si>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</si>
  <si>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</si>
  <si>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</si>
  <si>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</si>
  <si>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</si>
  <si>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</si>
  <si>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</si>
  <si>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</si>
  <si>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</si>
  <si>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</si>
  <si>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</si>
  <si>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</si>
  <si>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</si>
  <si>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</si>
  <si>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</si>
  <si>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</si>
  <si>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</si>
  <si>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</si>
  <si>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</si>
  <si>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</si>
  <si>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</si>
  <si>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</si>
  <si>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</si>
  <si>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</si>
  <si>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</si>
  <si>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</si>
  <si>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</si>
  <si>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</si>
  <si>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</si>
  <si>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</si>
  <si>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</si>
  <si>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</si>
  <si>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</si>
  <si>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</si>
  <si>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</si>
  <si>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</si>
  <si>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</si>
  <si>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</si>
  <si>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</si>
  <si>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</si>
  <si>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</si>
  <si>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</si>
  <si>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</si>
  <si>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</si>
  <si>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</si>
  <si>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</si>
  <si>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</si>
  <si>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</si>
  <si>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</si>
  <si>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</si>
  <si>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</si>
  <si>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</si>
  <si>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</si>
  <si>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</si>
  <si>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</si>
  <si>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</si>
  <si>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</si>
  <si>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</si>
  <si>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</si>
  <si>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</si>
  <si>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</si>
  <si>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</si>
  <si>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</si>
  <si>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</si>
  <si>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</si>
  <si>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</si>
  <si>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</si>
  <si>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</si>
  <si>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</si>
  <si>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</si>
  <si>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</si>
  <si>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</si>
  <si>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</si>
  <si>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</si>
  <si>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</si>
  <si>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</si>
  <si>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</si>
  <si>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</si>
  <si>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</si>
  <si>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</si>
  <si>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</si>
  <si>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</si>
  <si>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</si>
  <si>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</si>
  <si>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</si>
  <si>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</si>
  <si>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</si>
  <si>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</si>
  <si>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</si>
  <si>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</si>
  <si>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</si>
  <si>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</si>
  <si>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</si>
  <si>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</si>
  <si>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</si>
  <si>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</si>
  <si>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</si>
  <si>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</si>
  <si>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</si>
  <si>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</si>
  <si>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</si>
  <si>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</si>
  <si>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</si>
  <si>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</si>
  <si>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</si>
  <si>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</si>
  <si>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</si>
  <si>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</si>
  <si>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</si>
  <si>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</si>
  <si>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</si>
  <si>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</si>
  <si>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</si>
  <si>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</si>
  <si>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</si>
  <si>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</si>
  <si>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</si>
  <si>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</si>
  <si>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</si>
  <si>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</si>
  <si>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</si>
  <si>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</si>
  <si>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</si>
  <si>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</si>
  <si>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</si>
  <si>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</si>
  <si>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</si>
  <si>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</si>
  <si>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</si>
  <si>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</si>
  <si>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</si>
  <si>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</si>
  <si>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</si>
  <si>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</si>
  <si>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</si>
  <si>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</si>
  <si>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</si>
  <si>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</si>
  <si>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</si>
  <si>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</si>
  <si>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</si>
  <si>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</si>
  <si>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</si>
  <si>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</si>
  <si>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</si>
  <si>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</si>
  <si>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</si>
  <si>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</si>
  <si>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</si>
  <si>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</si>
  <si>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093R374920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</si>
  <si>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</si>
  <si>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</si>
  <si>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</si>
  <si>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</si>
  <si>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</si>
  <si>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</si>
  <si>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</si>
  <si>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</si>
  <si>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</si>
  <si>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</si>
  <si>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</si>
  <si>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Отдельное мероприятие: Предоставление субсидии на обеспечение пассажирских перевозок автомобильным транспортом на территории МО Туруханский район</t>
  </si>
  <si>
    <t>Цель. Повышение безопасности услуг пассажирского автомобильного транспорта</t>
  </si>
  <si>
    <t>Приобретение автобусов</t>
  </si>
  <si>
    <t>шт.</t>
  </si>
  <si>
    <t>ведомственная отчетность программных мероприятий</t>
  </si>
  <si>
    <t>Отдельное мероприятие: Предоставление субсидии на организацию технического осмотра автомобильного транспорта</t>
  </si>
  <si>
    <t>Цель. Обеспечение технического осмотра автомобильного трнспорта</t>
  </si>
  <si>
    <t>Открытие пункта технического осмотра автомобильного транспорта</t>
  </si>
  <si>
    <t>Предоставление субсидии на обеспечение пассажирских перевозок автомобильным транспортом на территории МО Туруханский район</t>
  </si>
  <si>
    <t>Предоставление субсидии на организацию технического осмотра автомобильного транспорта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</si>
  <si>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</si>
  <si>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</si>
  <si>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</si>
  <si>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</si>
  <si>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 xml:space="preserve">Отдельное мероприятие: Предоставление субсидии на обеспечение пассажирских перевозок автомобильным транспортом на территории МО Туруханский район 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</si>
  <si>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</si>
  <si>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</si>
  <si>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</si>
  <si>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</si>
  <si>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 xml:space="preserve">утверждение Порядка предоставления грантов в форме субсидий на организацию технического осмотра автомобильного транспорта  </t>
  </si>
  <si>
    <t>094D276450</t>
  </si>
  <si>
    <t>094S276450</t>
  </si>
  <si>
    <t>813</t>
  </si>
  <si>
    <t>0920084230</t>
  </si>
  <si>
    <t>0920084240</t>
  </si>
  <si>
    <t>Отдельное мероприятие Задача 4. Обеспечение стабильной работы пассажирского автомобильного трнспорта</t>
  </si>
  <si>
    <t>Отдельное мероприятие Задача 5. Оказание услуг по проверке технического состояния автортранспортных средств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</si>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</sst>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2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2"/>
      <color rgb="FFFF0000"/>
      <name val="Times New Roman"/>
      <family val="1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4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7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3" fillId="0" borderId="0" xfId="2" applyNumberFormat="1" applyFont="1"/>
    <xf numFmtId="169" fontId="6" fillId="4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0" xfId="2" applyNumberFormat="1" applyFont="1"/>
    <xf numFmtId="169" fontId="4" fillId="4" borderId="1" xfId="2" applyNumberFormat="1" applyFont="1" applyFill="1" applyBorder="1" applyAlignment="1">
      <alignment vertical="center" wrapText="1"/>
    </xf>
    <xf numFmtId="169" fontId="4" fillId="0" borderId="1" xfId="2" applyNumberFormat="1" applyFont="1" applyBorder="1" applyAlignment="1">
      <alignment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8" fillId="5" borderId="1" xfId="2" applyNumberFormat="1" applyFont="1" applyFill="1" applyBorder="1" applyAlignment="1">
      <alignment horizontal="left" vertical="center" wrapText="1"/>
    </xf>
    <xf numFmtId="171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9" fontId="3" fillId="0" borderId="12" xfId="0" applyNumberFormat="1" applyFont="1" applyBorder="1"/>
    <xf numFmtId="169" fontId="3" fillId="0" borderId="12" xfId="2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169" fontId="3" fillId="0" borderId="11" xfId="2" applyNumberFormat="1" applyFont="1" applyBorder="1"/>
    <xf numFmtId="0" fontId="3" fillId="0" borderId="11" xfId="0" applyFont="1" applyBorder="1"/>
    <xf numFmtId="169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3" fontId="13" fillId="0" borderId="1" xfId="2" applyNumberFormat="1" applyFont="1" applyBorder="1" applyAlignment="1">
      <alignment vertical="center" wrapText="1"/>
    </xf>
    <xf numFmtId="173" fontId="13" fillId="0" borderId="1" xfId="2" applyNumberFormat="1" applyFont="1" applyBorder="1" applyAlignment="1">
      <alignment vertical="center"/>
    </xf>
    <xf numFmtId="173" fontId="14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8" fillId="3" borderId="1" xfId="0" applyNumberFormat="1" applyFont="1" applyFill="1" applyBorder="1" applyAlignment="1">
      <alignment horizontal="left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2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4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2" fillId="4" borderId="0" xfId="0" applyNumberFormat="1" applyFont="1" applyFill="1"/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vertical="center" wrapText="1"/>
    </xf>
    <xf numFmtId="173" fontId="4" fillId="0" borderId="1" xfId="2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vertical="center" wrapText="1"/>
    </xf>
    <xf numFmtId="176" fontId="0" fillId="0" borderId="0" xfId="0" applyNumberFormat="1"/>
    <xf numFmtId="164" fontId="0" fillId="0" borderId="0" xfId="2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0" xfId="2" applyFont="1"/>
    <xf numFmtId="17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9" fontId="24" fillId="0" borderId="0" xfId="0" applyNumberFormat="1" applyFont="1" applyBorder="1"/>
    <xf numFmtId="49" fontId="8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4" fontId="4" fillId="7" borderId="1" xfId="2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169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175" fontId="6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165" fontId="4" fillId="7" borderId="1" xfId="2" applyNumberFormat="1" applyFont="1" applyFill="1" applyBorder="1" applyAlignment="1">
      <alignment horizontal="center" vertical="center" wrapText="1"/>
    </xf>
    <xf numFmtId="165" fontId="4" fillId="7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1" fillId="7" borderId="1" xfId="2" applyNumberFormat="1" applyFont="1" applyFill="1" applyBorder="1" applyAlignment="1">
      <alignment vertical="center" wrapText="1"/>
    </xf>
    <xf numFmtId="165" fontId="21" fillId="7" borderId="1" xfId="2" applyNumberFormat="1" applyFont="1" applyFill="1" applyBorder="1" applyAlignment="1">
      <alignment horizontal="left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4" fontId="26" fillId="7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25" fillId="0" borderId="1" xfId="2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" fontId="4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7" fontId="2" fillId="0" borderId="1" xfId="2" applyNumberFormat="1" applyFont="1" applyFill="1" applyBorder="1" applyAlignment="1">
      <alignment horizontal="center" vertical="center" wrapText="1"/>
    </xf>
    <xf numFmtId="165" fontId="27" fillId="0" borderId="1" xfId="3" applyNumberFormat="1" applyFont="1" applyFill="1" applyBorder="1" applyAlignment="1">
      <alignment vertical="center" wrapText="1"/>
    </xf>
    <xf numFmtId="165" fontId="27" fillId="0" borderId="1" xfId="2" applyNumberFormat="1" applyFont="1" applyFill="1" applyBorder="1" applyAlignment="1">
      <alignment vertical="center" wrapText="1"/>
    </xf>
    <xf numFmtId="165" fontId="27" fillId="0" borderId="1" xfId="2" applyNumberFormat="1" applyFont="1" applyFill="1" applyBorder="1" applyAlignment="1">
      <alignment horizontal="left" vertical="center" wrapText="1"/>
    </xf>
    <xf numFmtId="165" fontId="28" fillId="3" borderId="1" xfId="2" applyNumberFormat="1" applyFont="1" applyFill="1" applyBorder="1" applyAlignment="1">
      <alignment horizontal="center" vertical="center" wrapText="1"/>
    </xf>
    <xf numFmtId="165" fontId="28" fillId="3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4" fontId="6" fillId="3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7" xfId="0" applyFont="1" applyBorder="1"/>
    <xf numFmtId="177" fontId="3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8" fillId="0" borderId="3" xfId="5" applyFont="1" applyFill="1" applyBorder="1" applyAlignment="1">
      <alignment horizontal="left" vertical="center" wrapText="1"/>
    </xf>
    <xf numFmtId="0" fontId="8" fillId="0" borderId="4" xfId="5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6" fillId="0" borderId="2" xfId="0" applyNumberFormat="1" applyFont="1" applyFill="1" applyBorder="1" applyAlignment="1">
      <alignment horizontal="left" vertical="center" wrapText="1"/>
    </xf>
    <xf numFmtId="16" fontId="6" fillId="0" borderId="3" xfId="0" applyNumberFormat="1" applyFont="1" applyFill="1" applyBorder="1" applyAlignment="1">
      <alignment horizontal="left" vertical="center" wrapText="1"/>
    </xf>
    <xf numFmtId="16" fontId="6" fillId="0" borderId="4" xfId="0" applyNumberFormat="1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topLeftCell="A4" zoomScale="70" zoomScaleNormal="70" zoomScaleSheetLayoutView="70" workbookViewId="0">
      <selection activeCell="L12" sqref="L12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0" width="10.25" style="1" customWidth="1"/>
    <col min="11" max="11" width="10.25" style="274" customWidth="1"/>
    <col min="12" max="14" width="10.25" style="1" customWidth="1"/>
    <col min="15" max="16" width="14.875" style="1" customWidth="1"/>
    <col min="17" max="16384" width="9" style="1"/>
  </cols>
  <sheetData>
    <row r="1" spans="1:16" ht="75.75" hidden="1" customHeight="1" outlineLevel="1" x14ac:dyDescent="0.25">
      <c r="J1" s="335" t="s">
        <v>250</v>
      </c>
      <c r="K1" s="335"/>
      <c r="L1" s="335"/>
      <c r="M1" s="335"/>
      <c r="N1" s="335"/>
      <c r="O1" s="335"/>
      <c r="P1" s="335"/>
    </row>
    <row r="2" spans="1:16" hidden="1" outlineLevel="1" x14ac:dyDescent="0.25"/>
    <row r="3" spans="1:16" hidden="1" outlineLevel="1" x14ac:dyDescent="0.25"/>
    <row r="4" spans="1:16" ht="18.75" collapsed="1" x14ac:dyDescent="0.25">
      <c r="J4" s="3" t="s">
        <v>10</v>
      </c>
      <c r="K4" s="300"/>
      <c r="L4" s="3"/>
      <c r="M4" s="3"/>
      <c r="N4" s="3"/>
      <c r="O4" s="29"/>
      <c r="P4" s="29"/>
    </row>
    <row r="5" spans="1:16" ht="56.25" customHeight="1" x14ac:dyDescent="0.25">
      <c r="J5" s="336" t="s">
        <v>138</v>
      </c>
      <c r="K5" s="336"/>
      <c r="L5" s="336"/>
      <c r="M5" s="336"/>
      <c r="N5" s="336"/>
      <c r="O5" s="336"/>
      <c r="P5" s="336"/>
    </row>
    <row r="8" spans="1:16" ht="18.75" x14ac:dyDescent="0.25">
      <c r="A8" s="339" t="s">
        <v>1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</row>
    <row r="9" spans="1:16" ht="18.75" x14ac:dyDescent="0.25">
      <c r="A9" s="339" t="s">
        <v>9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</row>
    <row r="10" spans="1:16" ht="18.75" x14ac:dyDescent="0.25">
      <c r="A10" s="339" t="s">
        <v>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</row>
    <row r="11" spans="1:16" ht="18.75" x14ac:dyDescent="0.25">
      <c r="A11" s="339" t="s">
        <v>8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</row>
    <row r="12" spans="1:16" ht="18.75" x14ac:dyDescent="0.25">
      <c r="A12" s="2"/>
    </row>
    <row r="13" spans="1:16" ht="24.75" customHeight="1" x14ac:dyDescent="0.25">
      <c r="A13" s="326" t="s">
        <v>19</v>
      </c>
      <c r="B13" s="326" t="s">
        <v>4</v>
      </c>
      <c r="C13" s="326" t="s">
        <v>2</v>
      </c>
      <c r="D13" s="326" t="s">
        <v>89</v>
      </c>
      <c r="E13" s="326" t="s">
        <v>5</v>
      </c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</row>
    <row r="14" spans="1:16" ht="72" customHeight="1" x14ac:dyDescent="0.25">
      <c r="A14" s="326"/>
      <c r="B14" s="326"/>
      <c r="C14" s="326"/>
      <c r="D14" s="326"/>
      <c r="E14" s="326" t="s">
        <v>56</v>
      </c>
      <c r="F14" s="326" t="s">
        <v>57</v>
      </c>
      <c r="G14" s="340" t="s">
        <v>61</v>
      </c>
      <c r="H14" s="326" t="s">
        <v>53</v>
      </c>
      <c r="I14" s="326" t="s">
        <v>54</v>
      </c>
      <c r="J14" s="330" t="s">
        <v>55</v>
      </c>
      <c r="K14" s="330" t="s">
        <v>58</v>
      </c>
      <c r="L14" s="326" t="s">
        <v>263</v>
      </c>
      <c r="M14" s="333" t="s">
        <v>285</v>
      </c>
      <c r="N14" s="333" t="s">
        <v>334</v>
      </c>
      <c r="O14" s="332" t="s">
        <v>6</v>
      </c>
      <c r="P14" s="332"/>
    </row>
    <row r="15" spans="1:16" x14ac:dyDescent="0.25">
      <c r="A15" s="326"/>
      <c r="B15" s="326"/>
      <c r="C15" s="326"/>
      <c r="D15" s="326"/>
      <c r="E15" s="326"/>
      <c r="F15" s="326"/>
      <c r="G15" s="340"/>
      <c r="H15" s="326"/>
      <c r="I15" s="326"/>
      <c r="J15" s="330"/>
      <c r="K15" s="330"/>
      <c r="L15" s="326"/>
      <c r="M15" s="334"/>
      <c r="N15" s="334"/>
      <c r="O15" s="145" t="s">
        <v>59</v>
      </c>
      <c r="P15" s="145" t="s">
        <v>60</v>
      </c>
    </row>
    <row r="16" spans="1:16" x14ac:dyDescent="0.25">
      <c r="A16" s="145">
        <v>1</v>
      </c>
      <c r="B16" s="145">
        <v>2</v>
      </c>
      <c r="C16" s="145">
        <v>3</v>
      </c>
      <c r="D16" s="145">
        <v>4</v>
      </c>
      <c r="E16" s="145">
        <v>5</v>
      </c>
      <c r="F16" s="145">
        <v>6</v>
      </c>
      <c r="G16" s="145">
        <v>7</v>
      </c>
      <c r="H16" s="145">
        <v>8</v>
      </c>
      <c r="I16" s="145">
        <v>9</v>
      </c>
      <c r="J16" s="145">
        <v>10</v>
      </c>
      <c r="K16" s="305">
        <v>11</v>
      </c>
      <c r="L16" s="193">
        <v>12</v>
      </c>
      <c r="M16" s="245">
        <v>13</v>
      </c>
      <c r="N16" s="289">
        <v>14</v>
      </c>
      <c r="O16" s="193">
        <v>15</v>
      </c>
      <c r="P16" s="193">
        <v>16</v>
      </c>
    </row>
    <row r="17" spans="1:23" s="31" customFormat="1" x14ac:dyDescent="0.25">
      <c r="A17" s="146">
        <v>1</v>
      </c>
      <c r="B17" s="331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</row>
    <row r="18" spans="1:23" s="31" customFormat="1" ht="71.25" customHeight="1" x14ac:dyDescent="0.25">
      <c r="A18" s="328" t="s">
        <v>3</v>
      </c>
      <c r="B18" s="329" t="s">
        <v>135</v>
      </c>
      <c r="C18" s="146" t="s">
        <v>69</v>
      </c>
      <c r="D18" s="212">
        <f>E18</f>
        <v>120.8</v>
      </c>
      <c r="E18" s="71">
        <f>F18</f>
        <v>120.8</v>
      </c>
      <c r="F18" s="71">
        <v>120.8</v>
      </c>
      <c r="G18" s="71">
        <v>130.023</v>
      </c>
      <c r="H18" s="230">
        <v>156.34</v>
      </c>
      <c r="I18" s="213">
        <v>157.30000000000001</v>
      </c>
      <c r="J18" s="213">
        <v>162.30000000000001</v>
      </c>
      <c r="K18" s="213">
        <f t="shared" ref="K18:P19" si="0">J18</f>
        <v>162.30000000000001</v>
      </c>
      <c r="L18" s="213">
        <f t="shared" si="0"/>
        <v>162.30000000000001</v>
      </c>
      <c r="M18" s="213">
        <v>157</v>
      </c>
      <c r="N18" s="213">
        <v>157</v>
      </c>
      <c r="O18" s="213">
        <f>K18</f>
        <v>162.30000000000001</v>
      </c>
      <c r="P18" s="213">
        <f t="shared" si="0"/>
        <v>162.30000000000001</v>
      </c>
      <c r="T18" s="31" t="s">
        <v>335</v>
      </c>
      <c r="U18" s="31">
        <v>280.2</v>
      </c>
    </row>
    <row r="19" spans="1:23" s="31" customFormat="1" ht="71.25" customHeight="1" x14ac:dyDescent="0.25">
      <c r="A19" s="328"/>
      <c r="B19" s="329"/>
      <c r="C19" s="146" t="s">
        <v>134</v>
      </c>
      <c r="D19" s="214">
        <f>E19</f>
        <v>46.39</v>
      </c>
      <c r="E19" s="214">
        <f>F19</f>
        <v>46.39</v>
      </c>
      <c r="F19" s="214">
        <v>46.39</v>
      </c>
      <c r="G19" s="214">
        <v>47.52</v>
      </c>
      <c r="H19" s="231">
        <v>57.14</v>
      </c>
      <c r="I19" s="232">
        <v>57.49</v>
      </c>
      <c r="J19" s="213">
        <v>42.08</v>
      </c>
      <c r="K19" s="213">
        <f t="shared" si="0"/>
        <v>42.08</v>
      </c>
      <c r="L19" s="213">
        <f t="shared" si="0"/>
        <v>42.08</v>
      </c>
      <c r="M19" s="213">
        <f>L19</f>
        <v>42.08</v>
      </c>
      <c r="N19" s="213">
        <v>57.3</v>
      </c>
      <c r="O19" s="213">
        <f>K19</f>
        <v>42.08</v>
      </c>
      <c r="P19" s="213">
        <f t="shared" si="0"/>
        <v>42.08</v>
      </c>
      <c r="T19" s="31" t="s">
        <v>336</v>
      </c>
      <c r="U19" s="31">
        <v>117.9</v>
      </c>
      <c r="W19" s="31">
        <f>U18-U19</f>
        <v>162.29999999999998</v>
      </c>
    </row>
    <row r="20" spans="1:23" x14ac:dyDescent="0.25">
      <c r="A20" s="85">
        <v>2</v>
      </c>
      <c r="B20" s="327" t="str">
        <f>'пр 5 к МП'!B19:E19</f>
        <v>Цель муниципальной программы Туруханского района: повышение доступности транспортных услуг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U20" s="1">
        <f>U19/U18</f>
        <v>0.42077087794432549</v>
      </c>
    </row>
    <row r="21" spans="1:23" s="31" customFormat="1" ht="92.25" customHeight="1" x14ac:dyDescent="0.25">
      <c r="A21" s="181" t="s">
        <v>84</v>
      </c>
      <c r="B21" s="182" t="s">
        <v>259</v>
      </c>
      <c r="C21" s="183" t="s">
        <v>122</v>
      </c>
      <c r="D21" s="38">
        <f t="shared" ref="D21:I21" si="1">(D22+D23)*1000/D24</f>
        <v>13.264339719174577</v>
      </c>
      <c r="E21" s="38">
        <f t="shared" si="1"/>
        <v>13.638444873821653</v>
      </c>
      <c r="F21" s="38">
        <f t="shared" si="1"/>
        <v>14.499670875471246</v>
      </c>
      <c r="G21" s="38">
        <f t="shared" si="1"/>
        <v>13.02447428462952</v>
      </c>
      <c r="H21" s="38">
        <f t="shared" si="1"/>
        <v>12.647233936988339</v>
      </c>
      <c r="I21" s="38">
        <f t="shared" si="1"/>
        <v>10.762839884769079</v>
      </c>
      <c r="J21" s="38">
        <f>(J22+J23)*1000/J24</f>
        <v>29.334788189987162</v>
      </c>
      <c r="K21" s="215">
        <f>(K22+K23)*1000/K24</f>
        <v>29.343431101983185</v>
      </c>
      <c r="L21" s="38">
        <f>(L22+L23)*1000/L24</f>
        <v>29.351816198177382</v>
      </c>
      <c r="M21" s="38">
        <f>L21</f>
        <v>29.351816198177382</v>
      </c>
      <c r="N21" s="38">
        <f>M21</f>
        <v>29.351816198177382</v>
      </c>
      <c r="O21" s="38">
        <f t="shared" ref="O21:P21" si="2">(O22+O23)*1000/O24</f>
        <v>29.377606673083086</v>
      </c>
      <c r="P21" s="38">
        <f t="shared" si="2"/>
        <v>29.387270627486199</v>
      </c>
    </row>
    <row r="22" spans="1:23" s="37" customFormat="1" ht="31.5" hidden="1" outlineLevel="1" x14ac:dyDescent="0.25">
      <c r="A22" s="33"/>
      <c r="B22" s="34" t="s">
        <v>149</v>
      </c>
      <c r="C22" s="35" t="s">
        <v>77</v>
      </c>
      <c r="D22" s="52">
        <v>9.3330000000000002</v>
      </c>
      <c r="E22" s="52">
        <f>(777+712+747+993+692+638+635+689+608+702+764+974)/1000</f>
        <v>8.9309999999999992</v>
      </c>
      <c r="F22" s="207">
        <f>(667+666+804+826+713+647+657+674+580+594+714+762)/1000</f>
        <v>8.3040000000000003</v>
      </c>
      <c r="G22" s="207">
        <v>8.2880000000000003</v>
      </c>
      <c r="H22" s="207">
        <v>7.5739999999999998</v>
      </c>
      <c r="I22" s="207">
        <v>7.8719999999999999</v>
      </c>
      <c r="J22" s="302">
        <f>7.373+1.983</f>
        <v>9.3559999999999999</v>
      </c>
      <c r="K22" s="302">
        <v>9.3699999999999992</v>
      </c>
      <c r="L22" s="207">
        <v>9.3800000000000008</v>
      </c>
      <c r="M22" s="207">
        <v>9.39</v>
      </c>
      <c r="N22" s="207">
        <v>9.4</v>
      </c>
      <c r="O22" s="207">
        <v>9.42</v>
      </c>
      <c r="P22" s="207">
        <v>9.4499999999999993</v>
      </c>
      <c r="Q22" s="31"/>
      <c r="T22" s="37">
        <f>U22/V22</f>
        <v>8750.4156067643489</v>
      </c>
      <c r="U22" s="37">
        <f>745+450+643+899+919+825+673+707</f>
        <v>5861</v>
      </c>
      <c r="V22" s="37">
        <f>AVERAGE(V23:V24)</f>
        <v>0.66979675747849754</v>
      </c>
      <c r="W22" s="37">
        <f>700*5</f>
        <v>3500</v>
      </c>
    </row>
    <row r="23" spans="1:23" s="37" customFormat="1" ht="31.5" hidden="1" outlineLevel="1" x14ac:dyDescent="0.25">
      <c r="A23" s="33"/>
      <c r="B23" s="34" t="s">
        <v>150</v>
      </c>
      <c r="C23" s="35" t="s">
        <v>77</v>
      </c>
      <c r="D23" s="52">
        <v>224</v>
      </c>
      <c r="E23" s="52">
        <v>224</v>
      </c>
      <c r="F23" s="52">
        <v>234</v>
      </c>
      <c r="G23" s="207">
        <v>205.6129411764706</v>
      </c>
      <c r="H23" s="207">
        <v>196.34999999999997</v>
      </c>
      <c r="I23" s="207">
        <v>162.44994117647065</v>
      </c>
      <c r="J23" s="302">
        <v>447.68</v>
      </c>
      <c r="K23" s="302">
        <f>J23+0.15</f>
        <v>447.83</v>
      </c>
      <c r="L23" s="302">
        <f t="shared" ref="L23:P23" si="3">K23+0.15</f>
        <v>447.97999999999996</v>
      </c>
      <c r="M23" s="302">
        <f t="shared" si="3"/>
        <v>448.12999999999994</v>
      </c>
      <c r="N23" s="302">
        <f t="shared" si="3"/>
        <v>448.27999999999992</v>
      </c>
      <c r="O23" s="302">
        <f t="shared" si="3"/>
        <v>448.42999999999989</v>
      </c>
      <c r="P23" s="302">
        <f t="shared" si="3"/>
        <v>448.57999999999987</v>
      </c>
      <c r="Q23" s="31"/>
      <c r="T23" s="37">
        <f>777+712+747+993+692+638+635+689+608+702+764+974</f>
        <v>8931</v>
      </c>
      <c r="U23" s="37">
        <f>777+712+747+993+692+638+635+689</f>
        <v>5883</v>
      </c>
      <c r="V23" s="37">
        <f>U23/T23</f>
        <v>0.65871682902250583</v>
      </c>
    </row>
    <row r="24" spans="1:23" s="37" customFormat="1" ht="31.5" hidden="1" outlineLevel="1" x14ac:dyDescent="0.25">
      <c r="A24" s="33"/>
      <c r="B24" s="34" t="s">
        <v>124</v>
      </c>
      <c r="C24" s="35" t="s">
        <v>82</v>
      </c>
      <c r="D24" s="36">
        <v>17591</v>
      </c>
      <c r="E24" s="36">
        <v>17079</v>
      </c>
      <c r="F24" s="36">
        <v>16711</v>
      </c>
      <c r="G24" s="206">
        <v>16423</v>
      </c>
      <c r="H24" s="206">
        <v>16124</v>
      </c>
      <c r="I24" s="206">
        <v>15825</v>
      </c>
      <c r="J24" s="303">
        <v>15580</v>
      </c>
      <c r="K24" s="304">
        <f>J24+1</f>
        <v>15581</v>
      </c>
      <c r="L24" s="304">
        <f t="shared" ref="L24:P24" si="4">K24+1</f>
        <v>15582</v>
      </c>
      <c r="M24" s="304">
        <f t="shared" si="4"/>
        <v>15583</v>
      </c>
      <c r="N24" s="304">
        <f t="shared" si="4"/>
        <v>15584</v>
      </c>
      <c r="O24" s="304">
        <f t="shared" si="4"/>
        <v>15585</v>
      </c>
      <c r="P24" s="304">
        <f t="shared" si="4"/>
        <v>15586</v>
      </c>
      <c r="Q24" s="31"/>
      <c r="T24" s="37">
        <f>667+666+804+826+713+647+657+674+580+594+714+762</f>
        <v>8304</v>
      </c>
      <c r="U24" s="37">
        <f>667+666+804+826+713+647+657+674</f>
        <v>5654</v>
      </c>
      <c r="V24" s="37">
        <f>U24/T24</f>
        <v>0.68087668593448936</v>
      </c>
    </row>
    <row r="25" spans="1:23" ht="15.75" customHeight="1" collapsed="1" x14ac:dyDescent="0.25">
      <c r="A25" s="85">
        <v>3</v>
      </c>
      <c r="B25" s="327" t="str">
        <f>'пр 5 к МП'!B24:E24</f>
        <v>Цель муниципальной программы Туруханского района: повышение безопасности дорожного движения</v>
      </c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1"/>
    </row>
    <row r="26" spans="1:23" ht="54" customHeight="1" x14ac:dyDescent="0.25">
      <c r="A26" s="28" t="s">
        <v>116</v>
      </c>
      <c r="B26" s="86" t="s">
        <v>81</v>
      </c>
      <c r="C26" s="85" t="s">
        <v>82</v>
      </c>
      <c r="D26" s="267">
        <v>2</v>
      </c>
      <c r="E26" s="267">
        <v>1</v>
      </c>
      <c r="F26" s="267">
        <v>2</v>
      </c>
      <c r="G26" s="267">
        <v>0</v>
      </c>
      <c r="H26" s="269">
        <v>3</v>
      </c>
      <c r="I26" s="269">
        <v>3</v>
      </c>
      <c r="J26" s="269">
        <v>1</v>
      </c>
      <c r="K26" s="318">
        <v>1</v>
      </c>
      <c r="L26" s="269">
        <v>1</v>
      </c>
      <c r="M26" s="269">
        <f>L26</f>
        <v>1</v>
      </c>
      <c r="N26" s="292">
        <v>1</v>
      </c>
      <c r="O26" s="269">
        <v>1</v>
      </c>
      <c r="P26" s="269">
        <v>1</v>
      </c>
      <c r="Q26" s="31"/>
    </row>
    <row r="27" spans="1:23" s="31" customFormat="1" x14ac:dyDescent="0.25">
      <c r="A27" s="88">
        <v>4</v>
      </c>
      <c r="B27" s="327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</row>
    <row r="28" spans="1:23" s="31" customFormat="1" ht="47.25" x14ac:dyDescent="0.25">
      <c r="A28" s="30" t="s">
        <v>117</v>
      </c>
      <c r="B28" s="51" t="s">
        <v>88</v>
      </c>
      <c r="C28" s="88" t="s">
        <v>87</v>
      </c>
      <c r="D28" s="269">
        <v>8</v>
      </c>
      <c r="E28" s="269">
        <v>8</v>
      </c>
      <c r="F28" s="269">
        <v>8</v>
      </c>
      <c r="G28" s="269">
        <v>8</v>
      </c>
      <c r="H28" s="269">
        <v>8</v>
      </c>
      <c r="I28" s="269">
        <v>8</v>
      </c>
      <c r="J28" s="271">
        <v>11</v>
      </c>
      <c r="K28" s="271">
        <v>11</v>
      </c>
      <c r="L28" s="292">
        <v>11</v>
      </c>
      <c r="M28" s="292">
        <v>11</v>
      </c>
      <c r="N28" s="292">
        <v>11</v>
      </c>
      <c r="O28" s="292">
        <v>11</v>
      </c>
      <c r="P28" s="292">
        <v>11</v>
      </c>
    </row>
    <row r="29" spans="1:23" ht="38.25" customHeight="1" x14ac:dyDescent="0.25">
      <c r="A29" s="337" t="s">
        <v>208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  <row r="30" spans="1:23" ht="18.75" x14ac:dyDescent="0.25">
      <c r="A30" s="2"/>
    </row>
  </sheetData>
  <mergeCells count="29">
    <mergeCell ref="J1:P1"/>
    <mergeCell ref="J5:P5"/>
    <mergeCell ref="A29:P29"/>
    <mergeCell ref="A8:P8"/>
    <mergeCell ref="A9:P9"/>
    <mergeCell ref="A10:P10"/>
    <mergeCell ref="A11:P11"/>
    <mergeCell ref="A13:A15"/>
    <mergeCell ref="B13:B15"/>
    <mergeCell ref="C13:C15"/>
    <mergeCell ref="D13:D15"/>
    <mergeCell ref="E13:P13"/>
    <mergeCell ref="E14:E15"/>
    <mergeCell ref="F14:F15"/>
    <mergeCell ref="G14:G15"/>
    <mergeCell ref="H14:H15"/>
    <mergeCell ref="I14:I15"/>
    <mergeCell ref="B27:P27"/>
    <mergeCell ref="A18:A19"/>
    <mergeCell ref="B18:B19"/>
    <mergeCell ref="J14:J15"/>
    <mergeCell ref="B17:P17"/>
    <mergeCell ref="B20:P20"/>
    <mergeCell ref="B25:P25"/>
    <mergeCell ref="K14:K15"/>
    <mergeCell ref="O14:P14"/>
    <mergeCell ref="L14:L15"/>
    <mergeCell ref="M14:M15"/>
    <mergeCell ref="N14:N15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rowBreaks count="1" manualBreakCount="1">
    <brk id="24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E34"/>
  <sheetViews>
    <sheetView view="pageBreakPreview" zoomScale="85" zoomScaleNormal="100" zoomScaleSheetLayoutView="85" workbookViewId="0">
      <selection activeCell="L17" sqref="L17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1" customWidth="1"/>
    <col min="6" max="6" width="13.25" style="1" customWidth="1"/>
    <col min="7" max="16384" width="9" style="1"/>
  </cols>
  <sheetData>
    <row r="1" spans="1:5" ht="18.75" x14ac:dyDescent="0.25">
      <c r="D1" s="384" t="s">
        <v>162</v>
      </c>
      <c r="E1" s="384"/>
    </row>
    <row r="2" spans="1:5" ht="73.5" customHeight="1" x14ac:dyDescent="0.25">
      <c r="D2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336"/>
    </row>
    <row r="3" spans="1:5" ht="18.75" x14ac:dyDescent="0.25">
      <c r="A3" s="12"/>
    </row>
    <row r="4" spans="1:5" ht="18.75" x14ac:dyDescent="0.25">
      <c r="A4" s="12"/>
    </row>
    <row r="5" spans="1:5" ht="18.75" x14ac:dyDescent="0.25">
      <c r="A5" s="339" t="s">
        <v>0</v>
      </c>
      <c r="B5" s="339"/>
      <c r="C5" s="339"/>
      <c r="D5" s="339"/>
      <c r="E5" s="339"/>
    </row>
    <row r="6" spans="1:5" ht="18.75" x14ac:dyDescent="0.25">
      <c r="A6" s="339" t="s">
        <v>16</v>
      </c>
      <c r="B6" s="339"/>
      <c r="C6" s="339"/>
      <c r="D6" s="339"/>
      <c r="E6" s="339"/>
    </row>
    <row r="7" spans="1:5" ht="18.75" x14ac:dyDescent="0.25">
      <c r="A7" s="339" t="s">
        <v>17</v>
      </c>
      <c r="B7" s="339"/>
      <c r="C7" s="339"/>
      <c r="D7" s="339"/>
      <c r="E7" s="339"/>
    </row>
    <row r="8" spans="1:5" ht="18.75" x14ac:dyDescent="0.25">
      <c r="A8" s="339" t="s">
        <v>18</v>
      </c>
      <c r="B8" s="339"/>
      <c r="C8" s="339"/>
      <c r="D8" s="339"/>
      <c r="E8" s="339"/>
    </row>
    <row r="9" spans="1:5" ht="18.75" x14ac:dyDescent="0.25">
      <c r="A9" s="339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339"/>
      <c r="C9" s="339"/>
      <c r="D9" s="339"/>
      <c r="E9" s="339"/>
    </row>
    <row r="10" spans="1:5" ht="18.75" x14ac:dyDescent="0.25">
      <c r="A10" s="12"/>
    </row>
    <row r="11" spans="1:5" ht="63" x14ac:dyDescent="0.25">
      <c r="A11" s="16" t="s">
        <v>19</v>
      </c>
      <c r="B11" s="16" t="s">
        <v>11</v>
      </c>
      <c r="C11" s="16" t="s">
        <v>12</v>
      </c>
      <c r="D11" s="16" t="s">
        <v>13</v>
      </c>
      <c r="E11" s="202" t="s">
        <v>14</v>
      </c>
    </row>
    <row r="12" spans="1:5" x14ac:dyDescent="0.25">
      <c r="A12" s="16">
        <v>1</v>
      </c>
      <c r="B12" s="16">
        <v>2</v>
      </c>
      <c r="C12" s="16">
        <v>3</v>
      </c>
      <c r="D12" s="16">
        <v>4</v>
      </c>
      <c r="E12" s="193">
        <v>5</v>
      </c>
    </row>
    <row r="13" spans="1:5" ht="41.25" customHeight="1" x14ac:dyDescent="0.25">
      <c r="A13" s="17">
        <v>1</v>
      </c>
      <c r="B13" s="385" t="s">
        <v>151</v>
      </c>
      <c r="C13" s="385"/>
      <c r="D13" s="385"/>
      <c r="E13" s="385"/>
    </row>
    <row r="14" spans="1:5" ht="36" customHeight="1" x14ac:dyDescent="0.25">
      <c r="A14" s="326" t="s">
        <v>3</v>
      </c>
      <c r="B14" s="386" t="s">
        <v>152</v>
      </c>
      <c r="C14" s="386"/>
      <c r="D14" s="386"/>
      <c r="E14" s="386"/>
    </row>
    <row r="15" spans="1:5" ht="39.75" customHeight="1" x14ac:dyDescent="0.25">
      <c r="A15" s="326"/>
      <c r="B15" s="387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87"/>
      <c r="D15" s="387"/>
      <c r="E15" s="387"/>
    </row>
    <row r="16" spans="1:5" ht="94.5" x14ac:dyDescent="0.25">
      <c r="A16" s="50" t="s">
        <v>126</v>
      </c>
      <c r="B16" s="47" t="s">
        <v>153</v>
      </c>
      <c r="C16" s="47" t="s">
        <v>154</v>
      </c>
      <c r="D16" s="50" t="s">
        <v>66</v>
      </c>
      <c r="E16" s="203">
        <v>43435</v>
      </c>
    </row>
    <row r="17" spans="1:5" ht="94.5" x14ac:dyDescent="0.25">
      <c r="A17" s="50" t="s">
        <v>158</v>
      </c>
      <c r="B17" s="47" t="s">
        <v>153</v>
      </c>
      <c r="C17" s="47" t="s">
        <v>155</v>
      </c>
      <c r="D17" s="50" t="s">
        <v>66</v>
      </c>
      <c r="E17" s="203">
        <v>43525</v>
      </c>
    </row>
    <row r="18" spans="1:5" ht="31.5" x14ac:dyDescent="0.25">
      <c r="A18" s="50" t="s">
        <v>159</v>
      </c>
      <c r="B18" s="47" t="s">
        <v>153</v>
      </c>
      <c r="C18" s="47" t="s">
        <v>156</v>
      </c>
      <c r="D18" s="50" t="s">
        <v>157</v>
      </c>
      <c r="E18" s="203">
        <v>43405</v>
      </c>
    </row>
    <row r="19" spans="1:5" ht="18" customHeight="1" x14ac:dyDescent="0.25">
      <c r="A19" s="17">
        <v>2</v>
      </c>
      <c r="B19" s="385" t="s">
        <v>147</v>
      </c>
      <c r="C19" s="385"/>
      <c r="D19" s="385"/>
      <c r="E19" s="385"/>
    </row>
    <row r="20" spans="1:5" ht="18" customHeight="1" x14ac:dyDescent="0.25">
      <c r="A20" s="326" t="s">
        <v>84</v>
      </c>
      <c r="B20" s="327" t="s">
        <v>125</v>
      </c>
      <c r="C20" s="327"/>
      <c r="D20" s="327"/>
      <c r="E20" s="327"/>
    </row>
    <row r="21" spans="1:5" ht="18" customHeight="1" x14ac:dyDescent="0.25">
      <c r="A21" s="326"/>
      <c r="B21" s="387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387"/>
      <c r="D21" s="387"/>
      <c r="E21" s="387"/>
    </row>
    <row r="22" spans="1:5" ht="189" x14ac:dyDescent="0.25">
      <c r="A22" s="16" t="s">
        <v>127</v>
      </c>
      <c r="B22" s="15" t="s">
        <v>108</v>
      </c>
      <c r="C22" s="15" t="s">
        <v>110</v>
      </c>
      <c r="D22" s="16" t="s">
        <v>93</v>
      </c>
      <c r="E22" s="203">
        <v>43435</v>
      </c>
    </row>
    <row r="23" spans="1:5" ht="204.75" x14ac:dyDescent="0.25">
      <c r="A23" s="16" t="s">
        <v>129</v>
      </c>
      <c r="B23" s="15" t="s">
        <v>108</v>
      </c>
      <c r="C23" s="15" t="s">
        <v>109</v>
      </c>
      <c r="D23" s="16" t="s">
        <v>93</v>
      </c>
      <c r="E23" s="203">
        <v>43435</v>
      </c>
    </row>
    <row r="24" spans="1:5" ht="19.5" customHeight="1" x14ac:dyDescent="0.25">
      <c r="A24" s="17">
        <v>3</v>
      </c>
      <c r="B24" s="398" t="s">
        <v>121</v>
      </c>
      <c r="C24" s="399"/>
      <c r="D24" s="399"/>
      <c r="E24" s="400"/>
    </row>
    <row r="25" spans="1:5" ht="24" customHeight="1" x14ac:dyDescent="0.25">
      <c r="A25" s="333" t="s">
        <v>116</v>
      </c>
      <c r="B25" s="394" t="s">
        <v>131</v>
      </c>
      <c r="C25" s="395"/>
      <c r="D25" s="395"/>
      <c r="E25" s="396"/>
    </row>
    <row r="26" spans="1:5" ht="17.25" customHeight="1" x14ac:dyDescent="0.25">
      <c r="A26" s="334"/>
      <c r="B26" s="388" t="str">
        <f>CONCATENATE("Подпрограмма 3 """,'пр 6 к МП'!C32,"""")</f>
        <v>Подпрограмма 3 "Безопасность дорожного движения в Туруханском районе"</v>
      </c>
      <c r="C26" s="389"/>
      <c r="D26" s="389"/>
      <c r="E26" s="390"/>
    </row>
    <row r="27" spans="1:5" hidden="1" outlineLevel="1" x14ac:dyDescent="0.25">
      <c r="A27" s="39" t="s">
        <v>128</v>
      </c>
      <c r="B27" s="32"/>
      <c r="C27" s="32"/>
      <c r="D27" s="32"/>
      <c r="E27" s="204"/>
    </row>
    <row r="28" spans="1:5" hidden="1" outlineLevel="1" x14ac:dyDescent="0.25">
      <c r="A28" s="16"/>
      <c r="B28" s="15"/>
      <c r="C28" s="15"/>
      <c r="D28" s="15"/>
      <c r="E28" s="205"/>
    </row>
    <row r="29" spans="1:5" collapsed="1" x14ac:dyDescent="0.25">
      <c r="A29" s="17">
        <v>4</v>
      </c>
      <c r="B29" s="397" t="s">
        <v>148</v>
      </c>
      <c r="C29" s="397"/>
      <c r="D29" s="397"/>
      <c r="E29" s="397"/>
    </row>
    <row r="30" spans="1:5" ht="78.75" x14ac:dyDescent="0.25">
      <c r="A30" s="267" t="s">
        <v>130</v>
      </c>
      <c r="B30" s="268" t="s">
        <v>113</v>
      </c>
      <c r="C30" s="268" t="s">
        <v>111</v>
      </c>
      <c r="D30" s="267" t="s">
        <v>112</v>
      </c>
      <c r="E30" s="202">
        <v>43435</v>
      </c>
    </row>
    <row r="31" spans="1:5" ht="31.5" customHeight="1" x14ac:dyDescent="0.25">
      <c r="A31" s="272">
        <v>5</v>
      </c>
      <c r="B31" s="391" t="s">
        <v>310</v>
      </c>
      <c r="C31" s="392"/>
      <c r="D31" s="392"/>
      <c r="E31" s="393"/>
    </row>
    <row r="32" spans="1:5" ht="63" x14ac:dyDescent="0.25">
      <c r="A32" s="273" t="s">
        <v>311</v>
      </c>
      <c r="B32" s="270" t="s">
        <v>312</v>
      </c>
      <c r="C32" s="314" t="s">
        <v>313</v>
      </c>
      <c r="D32" s="45" t="s">
        <v>65</v>
      </c>
      <c r="E32" s="202">
        <v>43891</v>
      </c>
    </row>
    <row r="33" spans="1:5" x14ac:dyDescent="0.25">
      <c r="A33" s="272">
        <v>6</v>
      </c>
      <c r="B33" s="274" t="s">
        <v>301</v>
      </c>
      <c r="C33" s="319"/>
      <c r="D33" s="275"/>
      <c r="E33" s="276"/>
    </row>
    <row r="34" spans="1:5" ht="63" x14ac:dyDescent="0.25">
      <c r="A34" s="273" t="s">
        <v>314</v>
      </c>
      <c r="B34" s="270" t="s">
        <v>312</v>
      </c>
      <c r="C34" s="277" t="s">
        <v>315</v>
      </c>
      <c r="D34" s="267" t="s">
        <v>65</v>
      </c>
      <c r="E34" s="202">
        <v>43891</v>
      </c>
    </row>
  </sheetData>
  <mergeCells count="21">
    <mergeCell ref="A25:A26"/>
    <mergeCell ref="B15:E15"/>
    <mergeCell ref="B21:E21"/>
    <mergeCell ref="B26:E26"/>
    <mergeCell ref="B31:E31"/>
    <mergeCell ref="B25:E25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L57"/>
  <sheetViews>
    <sheetView view="pageBreakPreview" topLeftCell="A31" zoomScale="70" zoomScaleNormal="70" zoomScaleSheetLayoutView="70" zoomScalePageLayoutView="85" workbookViewId="0">
      <selection activeCell="T46" sqref="T46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hidden="1" customHeight="1" outlineLevel="1" x14ac:dyDescent="0.3">
      <c r="J1" s="352" t="s">
        <v>252</v>
      </c>
      <c r="K1" s="352"/>
      <c r="L1" s="352"/>
    </row>
    <row r="2" spans="1:12" hidden="1" outlineLevel="1" x14ac:dyDescent="0.25"/>
    <row r="3" spans="1:12" hidden="1" outlineLevel="1" x14ac:dyDescent="0.25"/>
    <row r="4" spans="1:12" ht="15.75" customHeight="1" collapsed="1" x14ac:dyDescent="0.25">
      <c r="J4" s="110" t="s">
        <v>339</v>
      </c>
      <c r="K4" s="110"/>
      <c r="L4" s="19"/>
    </row>
    <row r="5" spans="1:12" ht="66" customHeight="1" x14ac:dyDescent="0.25">
      <c r="J5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336"/>
      <c r="L5" s="336"/>
    </row>
    <row r="6" spans="1:12" ht="18.75" x14ac:dyDescent="0.25">
      <c r="A6" s="108"/>
    </row>
    <row r="7" spans="1:12" ht="18.75" x14ac:dyDescent="0.25">
      <c r="A7" s="108"/>
    </row>
    <row r="8" spans="1:12" ht="18.75" x14ac:dyDescent="0.25">
      <c r="A8" s="339" t="s">
        <v>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</row>
    <row r="9" spans="1:12" ht="18.75" x14ac:dyDescent="0.25">
      <c r="A9" s="339" t="s">
        <v>114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</row>
    <row r="10" spans="1:12" ht="18.75" x14ac:dyDescent="0.25">
      <c r="A10" s="339" t="s">
        <v>115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</row>
    <row r="11" spans="1:12" ht="18.75" x14ac:dyDescent="0.25">
      <c r="A11" s="339" t="s">
        <v>36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</row>
    <row r="12" spans="1:12" ht="18.75" x14ac:dyDescent="0.25">
      <c r="A12" s="108"/>
    </row>
    <row r="13" spans="1:12" ht="18.75" x14ac:dyDescent="0.25">
      <c r="L13" s="5" t="s">
        <v>209</v>
      </c>
    </row>
    <row r="14" spans="1:12" ht="36" customHeight="1" x14ac:dyDescent="0.25">
      <c r="A14" s="404" t="s">
        <v>19</v>
      </c>
      <c r="B14" s="405" t="s">
        <v>33</v>
      </c>
      <c r="C14" s="404" t="s">
        <v>34</v>
      </c>
      <c r="D14" s="404" t="s">
        <v>22</v>
      </c>
      <c r="E14" s="404" t="s">
        <v>23</v>
      </c>
      <c r="F14" s="404"/>
      <c r="G14" s="404"/>
      <c r="H14" s="404"/>
      <c r="I14" s="143">
        <f>'пр 7 к МП'!L$16</f>
        <v>2021</v>
      </c>
      <c r="J14" s="199">
        <f>'пр 7 к МП'!M$16</f>
        <v>2022</v>
      </c>
      <c r="K14" s="199">
        <f>'пр 7 к МП'!N$16</f>
        <v>2023</v>
      </c>
      <c r="L14" s="404" t="s">
        <v>24</v>
      </c>
    </row>
    <row r="15" spans="1:12" ht="36" customHeight="1" x14ac:dyDescent="0.25">
      <c r="A15" s="404"/>
      <c r="B15" s="405"/>
      <c r="C15" s="404"/>
      <c r="D15" s="404"/>
      <c r="E15" s="111" t="s">
        <v>25</v>
      </c>
      <c r="F15" s="111" t="s">
        <v>26</v>
      </c>
      <c r="G15" s="111" t="s">
        <v>27</v>
      </c>
      <c r="H15" s="111" t="s">
        <v>28</v>
      </c>
      <c r="I15" s="111" t="s">
        <v>29</v>
      </c>
      <c r="J15" s="111" t="s">
        <v>29</v>
      </c>
      <c r="K15" s="111" t="s">
        <v>29</v>
      </c>
      <c r="L15" s="404"/>
    </row>
    <row r="16" spans="1:12" x14ac:dyDescent="0.25">
      <c r="A16" s="107">
        <v>1</v>
      </c>
      <c r="B16" s="107">
        <v>2</v>
      </c>
      <c r="C16" s="107">
        <v>3</v>
      </c>
      <c r="D16" s="107">
        <v>4</v>
      </c>
      <c r="E16" s="107">
        <v>5</v>
      </c>
      <c r="F16" s="107">
        <v>6</v>
      </c>
      <c r="G16" s="107">
        <v>7</v>
      </c>
      <c r="H16" s="107">
        <v>8</v>
      </c>
      <c r="I16" s="107">
        <v>9</v>
      </c>
      <c r="J16" s="107">
        <v>10</v>
      </c>
      <c r="K16" s="107">
        <v>11</v>
      </c>
      <c r="L16" s="107">
        <v>12</v>
      </c>
    </row>
    <row r="17" spans="1:12" ht="63" x14ac:dyDescent="0.25">
      <c r="A17" s="403">
        <v>1</v>
      </c>
      <c r="B17" s="406" t="s">
        <v>39</v>
      </c>
      <c r="C17" s="406" t="s">
        <v>102</v>
      </c>
      <c r="D17" s="94" t="s">
        <v>103</v>
      </c>
      <c r="E17" s="95" t="s">
        <v>30</v>
      </c>
      <c r="F17" s="95" t="s">
        <v>30</v>
      </c>
      <c r="G17" s="95" t="s">
        <v>30</v>
      </c>
      <c r="H17" s="95" t="s">
        <v>30</v>
      </c>
      <c r="I17" s="96">
        <f>SUM(I19:I22)</f>
        <v>221192.63199999998</v>
      </c>
      <c r="J17" s="96">
        <f t="shared" ref="J17:K17" si="0">SUM(J19:J22)</f>
        <v>222332.43199999997</v>
      </c>
      <c r="K17" s="96">
        <f t="shared" si="0"/>
        <v>223517.83199999999</v>
      </c>
      <c r="L17" s="96">
        <f>SUM(I17:K17)</f>
        <v>667042.89599999995</v>
      </c>
    </row>
    <row r="18" spans="1:12" x14ac:dyDescent="0.25">
      <c r="A18" s="403"/>
      <c r="B18" s="406"/>
      <c r="C18" s="406"/>
      <c r="D18" s="94" t="s">
        <v>31</v>
      </c>
      <c r="E18" s="95"/>
      <c r="F18" s="95" t="s">
        <v>30</v>
      </c>
      <c r="G18" s="95" t="s">
        <v>30</v>
      </c>
      <c r="H18" s="95" t="s">
        <v>30</v>
      </c>
      <c r="I18" s="96"/>
      <c r="J18" s="96"/>
      <c r="K18" s="96"/>
      <c r="L18" s="96">
        <f t="shared" ref="L18:L37" si="1">SUM(I18:K18)</f>
        <v>0</v>
      </c>
    </row>
    <row r="19" spans="1:12" ht="31.5" x14ac:dyDescent="0.25">
      <c r="A19" s="403"/>
      <c r="B19" s="406"/>
      <c r="C19" s="406"/>
      <c r="D19" s="94" t="s">
        <v>65</v>
      </c>
      <c r="E19" s="95">
        <v>241</v>
      </c>
      <c r="F19" s="95" t="s">
        <v>30</v>
      </c>
      <c r="G19" s="95" t="s">
        <v>30</v>
      </c>
      <c r="H19" s="95" t="s">
        <v>30</v>
      </c>
      <c r="I19" s="96">
        <f>SUMIF($D$23:$D$39,$D19,I$23:I$39)</f>
        <v>156849.247</v>
      </c>
      <c r="J19" s="96">
        <f t="shared" ref="J19:K19" si="2">SUMIF($D$23:$D$39,$D19,J$23:J$39)</f>
        <v>156849.247</v>
      </c>
      <c r="K19" s="96">
        <f t="shared" si="2"/>
        <v>156849.247</v>
      </c>
      <c r="L19" s="96">
        <f t="shared" si="1"/>
        <v>470547.74100000004</v>
      </c>
    </row>
    <row r="20" spans="1:12" ht="47.25" x14ac:dyDescent="0.25">
      <c r="A20" s="403"/>
      <c r="B20" s="406"/>
      <c r="C20" s="406"/>
      <c r="D20" s="94" t="s">
        <v>94</v>
      </c>
      <c r="E20" s="95">
        <v>242</v>
      </c>
      <c r="F20" s="95" t="s">
        <v>30</v>
      </c>
      <c r="G20" s="95" t="s">
        <v>30</v>
      </c>
      <c r="H20" s="95" t="s">
        <v>30</v>
      </c>
      <c r="I20" s="96">
        <f t="shared" ref="I20:K22" si="3">SUMIF($D$23:$D$39,$D20,I$23:I$39)</f>
        <v>1650.83</v>
      </c>
      <c r="J20" s="96">
        <f t="shared" si="3"/>
        <v>1650.83</v>
      </c>
      <c r="K20" s="96">
        <f t="shared" si="3"/>
        <v>1650.83</v>
      </c>
      <c r="L20" s="96">
        <f t="shared" si="1"/>
        <v>4952.49</v>
      </c>
    </row>
    <row r="21" spans="1:12" ht="63" x14ac:dyDescent="0.25">
      <c r="A21" s="403"/>
      <c r="B21" s="406"/>
      <c r="C21" s="406"/>
      <c r="D21" s="94" t="s">
        <v>66</v>
      </c>
      <c r="E21" s="95">
        <v>247</v>
      </c>
      <c r="F21" s="95" t="s">
        <v>30</v>
      </c>
      <c r="G21" s="95" t="s">
        <v>30</v>
      </c>
      <c r="H21" s="95" t="s">
        <v>30</v>
      </c>
      <c r="I21" s="96">
        <f t="shared" si="3"/>
        <v>62692.554999999993</v>
      </c>
      <c r="J21" s="96">
        <f t="shared" si="3"/>
        <v>63832.354999999996</v>
      </c>
      <c r="K21" s="96">
        <f t="shared" si="3"/>
        <v>65017.754999999997</v>
      </c>
      <c r="L21" s="96">
        <f>SUM(I21:K21)</f>
        <v>191542.66499999998</v>
      </c>
    </row>
    <row r="22" spans="1:12" ht="47.25" x14ac:dyDescent="0.25">
      <c r="A22" s="403"/>
      <c r="B22" s="406"/>
      <c r="C22" s="406"/>
      <c r="D22" s="94" t="s">
        <v>215</v>
      </c>
      <c r="E22" s="95">
        <v>243</v>
      </c>
      <c r="F22" s="95" t="s">
        <v>30</v>
      </c>
      <c r="G22" s="95" t="s">
        <v>30</v>
      </c>
      <c r="H22" s="95" t="s">
        <v>30</v>
      </c>
      <c r="I22" s="96">
        <f t="shared" si="3"/>
        <v>0</v>
      </c>
      <c r="J22" s="96">
        <f t="shared" si="3"/>
        <v>0</v>
      </c>
      <c r="K22" s="96">
        <f t="shared" si="3"/>
        <v>0</v>
      </c>
      <c r="L22" s="96">
        <f>SUM(I22:K22)</f>
        <v>0</v>
      </c>
    </row>
    <row r="23" spans="1:12" ht="78.75" x14ac:dyDescent="0.25">
      <c r="A23" s="401" t="s">
        <v>3</v>
      </c>
      <c r="B23" s="402" t="s">
        <v>15</v>
      </c>
      <c r="C23" s="402" t="s">
        <v>118</v>
      </c>
      <c r="D23" s="106" t="s">
        <v>35</v>
      </c>
      <c r="E23" s="107"/>
      <c r="F23" s="107" t="s">
        <v>30</v>
      </c>
      <c r="G23" s="107" t="s">
        <v>30</v>
      </c>
      <c r="H23" s="107" t="s">
        <v>30</v>
      </c>
      <c r="I23" s="252">
        <f>I25+I26</f>
        <v>63964.784999999996</v>
      </c>
      <c r="J23" s="252">
        <f t="shared" ref="J23:L23" si="4">J25+J26</f>
        <v>65104.584999999999</v>
      </c>
      <c r="K23" s="252">
        <f t="shared" si="4"/>
        <v>66289.985000000001</v>
      </c>
      <c r="L23" s="252">
        <f t="shared" si="4"/>
        <v>195359.35500000001</v>
      </c>
    </row>
    <row r="24" spans="1:12" x14ac:dyDescent="0.25">
      <c r="A24" s="401"/>
      <c r="B24" s="402"/>
      <c r="C24" s="402"/>
      <c r="D24" s="106" t="s">
        <v>31</v>
      </c>
      <c r="E24" s="107"/>
      <c r="F24" s="107" t="s">
        <v>30</v>
      </c>
      <c r="G24" s="107" t="s">
        <v>30</v>
      </c>
      <c r="H24" s="107" t="s">
        <v>30</v>
      </c>
      <c r="I24" s="252"/>
      <c r="J24" s="252"/>
      <c r="K24" s="252"/>
      <c r="L24" s="252">
        <f t="shared" si="1"/>
        <v>0</v>
      </c>
    </row>
    <row r="25" spans="1:12" ht="57" customHeight="1" x14ac:dyDescent="0.25">
      <c r="A25" s="401"/>
      <c r="B25" s="402"/>
      <c r="C25" s="402"/>
      <c r="D25" s="106" t="s">
        <v>94</v>
      </c>
      <c r="E25" s="107">
        <f>E20</f>
        <v>242</v>
      </c>
      <c r="F25" s="107" t="s">
        <v>30</v>
      </c>
      <c r="G25" s="107" t="s">
        <v>30</v>
      </c>
      <c r="H25" s="107" t="s">
        <v>30</v>
      </c>
      <c r="I25" s="252">
        <f>'пр к ПП1'!H19</f>
        <v>1650.83</v>
      </c>
      <c r="J25" s="252">
        <f>'пр к ПП1'!I19</f>
        <v>1650.83</v>
      </c>
      <c r="K25" s="252">
        <f>'пр к ПП1'!J19</f>
        <v>1650.83</v>
      </c>
      <c r="L25" s="252">
        <f>'пр к ПП1'!K19</f>
        <v>4952.49</v>
      </c>
    </row>
    <row r="26" spans="1:12" ht="63" x14ac:dyDescent="0.25">
      <c r="A26" s="401"/>
      <c r="B26" s="402"/>
      <c r="C26" s="402"/>
      <c r="D26" s="106" t="s">
        <v>66</v>
      </c>
      <c r="E26" s="107">
        <f>E21</f>
        <v>247</v>
      </c>
      <c r="F26" s="107" t="s">
        <v>30</v>
      </c>
      <c r="G26" s="107" t="s">
        <v>30</v>
      </c>
      <c r="H26" s="107" t="s">
        <v>30</v>
      </c>
      <c r="I26" s="252">
        <f>'пр к ПП1'!H15+'пр к ПП1'!H17+'пр к ПП1'!H20+'пр к ПП1'!H22+'пр к ПП1'!H27+'пр к ПП1'!H31</f>
        <v>62313.954999999994</v>
      </c>
      <c r="J26" s="252">
        <f>'пр к ПП1'!I15+'пр к ПП1'!I17+'пр к ПП1'!I20+'пр к ПП1'!I22+'пр к ПП1'!I27+'пр к ПП1'!I31</f>
        <v>63453.754999999997</v>
      </c>
      <c r="K26" s="252">
        <f>'пр к ПП1'!J15+'пр к ПП1'!J17+'пр к ПП1'!J20+'пр к ПП1'!J22+'пр к ПП1'!J27+'пр к ПП1'!J31</f>
        <v>64639.154999999999</v>
      </c>
      <c r="L26" s="252">
        <f>'пр к ПП1'!K15+'пр к ПП1'!K17+'пр к ПП1'!K20+'пр к ПП1'!K22+'пр к ПП1'!K27+'пр к ПП1'!K31</f>
        <v>190406.86500000002</v>
      </c>
    </row>
    <row r="27" spans="1:12" ht="31.5" x14ac:dyDescent="0.25">
      <c r="A27" s="401" t="s">
        <v>83</v>
      </c>
      <c r="B27" s="402" t="s">
        <v>90</v>
      </c>
      <c r="C27" s="402" t="s">
        <v>97</v>
      </c>
      <c r="D27" s="106" t="s">
        <v>32</v>
      </c>
      <c r="E27" s="107"/>
      <c r="F27" s="107" t="s">
        <v>30</v>
      </c>
      <c r="G27" s="107" t="s">
        <v>30</v>
      </c>
      <c r="H27" s="107" t="s">
        <v>30</v>
      </c>
      <c r="I27" s="252">
        <f>I29+I30+I31</f>
        <v>146249.247</v>
      </c>
      <c r="J27" s="252">
        <f t="shared" ref="J27:K27" si="5">J29+J30+J31</f>
        <v>146249.247</v>
      </c>
      <c r="K27" s="252">
        <f t="shared" si="5"/>
        <v>146249.247</v>
      </c>
      <c r="L27" s="252">
        <f>L29+L30+L31</f>
        <v>438747.74099999998</v>
      </c>
    </row>
    <row r="28" spans="1:12" x14ac:dyDescent="0.25">
      <c r="A28" s="401"/>
      <c r="B28" s="402"/>
      <c r="C28" s="402"/>
      <c r="D28" s="106" t="s">
        <v>31</v>
      </c>
      <c r="E28" s="107"/>
      <c r="F28" s="107" t="s">
        <v>30</v>
      </c>
      <c r="G28" s="107" t="s">
        <v>30</v>
      </c>
      <c r="H28" s="107" t="s">
        <v>30</v>
      </c>
      <c r="I28" s="252"/>
      <c r="J28" s="252"/>
      <c r="K28" s="252"/>
      <c r="L28" s="252">
        <f t="shared" si="1"/>
        <v>0</v>
      </c>
    </row>
    <row r="29" spans="1:12" ht="31.5" x14ac:dyDescent="0.25">
      <c r="A29" s="401"/>
      <c r="B29" s="402"/>
      <c r="C29" s="402"/>
      <c r="D29" s="106" t="s">
        <v>65</v>
      </c>
      <c r="E29" s="107">
        <f>E19</f>
        <v>241</v>
      </c>
      <c r="F29" s="107" t="s">
        <v>30</v>
      </c>
      <c r="G29" s="107" t="s">
        <v>30</v>
      </c>
      <c r="H29" s="107" t="s">
        <v>30</v>
      </c>
      <c r="I29" s="252">
        <f>'пр к ПП2'!H16+'пр к ПП2'!H18+'пр к ПП2'!H20+'пр к ПП2'!H28+'пр к ПП2'!H31+'пр к ПП2'!H34</f>
        <v>146249.247</v>
      </c>
      <c r="J29" s="252">
        <f>'пр к ПП2'!I15+'пр к ПП2'!I17+'пр к ПП2'!I27+'пр к ПП2'!I30+'пр к ПП2'!I33</f>
        <v>146249.247</v>
      </c>
      <c r="K29" s="252">
        <f>'пр к ПП2'!J15+'пр к ПП2'!J17+'пр к ПП2'!J27+'пр к ПП2'!J30+'пр к ПП2'!J33</f>
        <v>146249.247</v>
      </c>
      <c r="L29" s="252">
        <f>'пр к ПП2'!K15+'пр к ПП2'!K17+'пр к ПП2'!K27+'пр к ПП2'!K30+'пр к ПП2'!K33</f>
        <v>438747.74099999998</v>
      </c>
    </row>
    <row r="30" spans="1:12" ht="47.25" x14ac:dyDescent="0.25">
      <c r="A30" s="401"/>
      <c r="B30" s="402"/>
      <c r="C30" s="402"/>
      <c r="D30" s="106" t="s">
        <v>94</v>
      </c>
      <c r="E30" s="109">
        <f>E20</f>
        <v>242</v>
      </c>
      <c r="F30" s="107" t="s">
        <v>30</v>
      </c>
      <c r="G30" s="107" t="s">
        <v>30</v>
      </c>
      <c r="H30" s="107" t="s">
        <v>30</v>
      </c>
      <c r="I30" s="252">
        <f>'пр к ПП2'!H22</f>
        <v>0</v>
      </c>
      <c r="J30" s="252">
        <f>'пр к ПП2'!I22</f>
        <v>0</v>
      </c>
      <c r="K30" s="252">
        <f>'пр к ПП2'!J22</f>
        <v>0</v>
      </c>
      <c r="L30" s="252">
        <f>SUM(I30:K30)</f>
        <v>0</v>
      </c>
    </row>
    <row r="31" spans="1:12" ht="63" x14ac:dyDescent="0.25">
      <c r="A31" s="401"/>
      <c r="B31" s="402"/>
      <c r="C31" s="402"/>
      <c r="D31" s="185" t="s">
        <v>66</v>
      </c>
      <c r="E31" s="184">
        <f>E26</f>
        <v>247</v>
      </c>
      <c r="F31" s="184" t="s">
        <v>30</v>
      </c>
      <c r="G31" s="184" t="s">
        <v>30</v>
      </c>
      <c r="H31" s="184" t="s">
        <v>30</v>
      </c>
      <c r="I31" s="252">
        <f>'пр к ПП2'!H24</f>
        <v>0</v>
      </c>
      <c r="J31" s="252">
        <f>'пр к ПП2'!I24</f>
        <v>0</v>
      </c>
      <c r="K31" s="252">
        <f>'пр к ПП2'!J24</f>
        <v>0</v>
      </c>
      <c r="L31" s="252">
        <f t="shared" ref="L31" si="6">SUM(I31:K31)</f>
        <v>0</v>
      </c>
    </row>
    <row r="32" spans="1:12" ht="31.5" customHeight="1" x14ac:dyDescent="0.25">
      <c r="A32" s="401" t="s">
        <v>85</v>
      </c>
      <c r="B32" s="402" t="s">
        <v>91</v>
      </c>
      <c r="C32" s="402" t="s">
        <v>98</v>
      </c>
      <c r="D32" s="106" t="s">
        <v>32</v>
      </c>
      <c r="E32" s="107"/>
      <c r="F32" s="107" t="s">
        <v>30</v>
      </c>
      <c r="G32" s="107" t="s">
        <v>30</v>
      </c>
      <c r="H32" s="107" t="s">
        <v>30</v>
      </c>
      <c r="I32" s="252">
        <f>'пр к ПП3'!H24</f>
        <v>378.6</v>
      </c>
      <c r="J32" s="252">
        <f>'пр к ПП3'!I24</f>
        <v>378.6</v>
      </c>
      <c r="K32" s="252">
        <f>'пр к ПП3'!J24</f>
        <v>378.6</v>
      </c>
      <c r="L32" s="252">
        <f>'пр к ПП3'!K24</f>
        <v>1135.8000000000002</v>
      </c>
    </row>
    <row r="33" spans="1:12" x14ac:dyDescent="0.25">
      <c r="A33" s="401"/>
      <c r="B33" s="402"/>
      <c r="C33" s="402"/>
      <c r="D33" s="106" t="s">
        <v>31</v>
      </c>
      <c r="E33" s="107"/>
      <c r="F33" s="107" t="s">
        <v>30</v>
      </c>
      <c r="G33" s="107" t="s">
        <v>30</v>
      </c>
      <c r="H33" s="107" t="s">
        <v>30</v>
      </c>
      <c r="I33" s="252"/>
      <c r="J33" s="252"/>
      <c r="K33" s="252"/>
      <c r="L33" s="252">
        <f t="shared" si="1"/>
        <v>0</v>
      </c>
    </row>
    <row r="34" spans="1:12" ht="63" x14ac:dyDescent="0.25">
      <c r="A34" s="401"/>
      <c r="B34" s="402"/>
      <c r="C34" s="402"/>
      <c r="D34" s="106" t="s">
        <v>66</v>
      </c>
      <c r="E34" s="107">
        <f>E21</f>
        <v>247</v>
      </c>
      <c r="F34" s="107" t="s">
        <v>30</v>
      </c>
      <c r="G34" s="107" t="s">
        <v>30</v>
      </c>
      <c r="H34" s="107" t="s">
        <v>30</v>
      </c>
      <c r="I34" s="252">
        <f>'пр к ПП3'!H17+'пр к ПП3'!H19+'пр к ПП3'!H23</f>
        <v>378.6</v>
      </c>
      <c r="J34" s="252">
        <f>'пр к ПП3'!I17+'пр к ПП3'!I19+'пр к ПП3'!I23</f>
        <v>378.6</v>
      </c>
      <c r="K34" s="252">
        <f>'пр к ПП3'!J17+'пр к ПП3'!J19+'пр к ПП3'!J23</f>
        <v>378.6</v>
      </c>
      <c r="L34" s="252">
        <f>'пр к ПП3'!K17+'пр к ПП3'!K19+'пр к ПП3'!K23</f>
        <v>1135.8000000000002</v>
      </c>
    </row>
    <row r="35" spans="1:12" ht="47.25" x14ac:dyDescent="0.25">
      <c r="A35" s="401"/>
      <c r="B35" s="402"/>
      <c r="C35" s="402"/>
      <c r="D35" s="106" t="s">
        <v>215</v>
      </c>
      <c r="E35" s="109">
        <f>E22</f>
        <v>243</v>
      </c>
      <c r="F35" s="107" t="s">
        <v>30</v>
      </c>
      <c r="G35" s="107" t="s">
        <v>30</v>
      </c>
      <c r="H35" s="107" t="s">
        <v>30</v>
      </c>
      <c r="I35" s="252">
        <f>'пр к ПП3'!H15+'пр к ПП3'!H16</f>
        <v>0</v>
      </c>
      <c r="J35" s="252">
        <f>'пр к ПП3'!I15+'пр к ПП3'!I16</f>
        <v>0</v>
      </c>
      <c r="K35" s="252">
        <f>'пр к ПП3'!J15+'пр к ПП3'!J16</f>
        <v>0</v>
      </c>
      <c r="L35" s="252">
        <f>SUM(I35:K35)</f>
        <v>0</v>
      </c>
    </row>
    <row r="36" spans="1:12" ht="31.5" customHeight="1" x14ac:dyDescent="0.25">
      <c r="A36" s="401" t="s">
        <v>86</v>
      </c>
      <c r="B36" s="402" t="s">
        <v>92</v>
      </c>
      <c r="C36" s="402" t="s">
        <v>161</v>
      </c>
      <c r="D36" s="106" t="s">
        <v>32</v>
      </c>
      <c r="E36" s="107"/>
      <c r="F36" s="107" t="s">
        <v>30</v>
      </c>
      <c r="G36" s="107" t="s">
        <v>30</v>
      </c>
      <c r="H36" s="107" t="s">
        <v>30</v>
      </c>
      <c r="I36" s="252">
        <f>I38+I39</f>
        <v>10600</v>
      </c>
      <c r="J36" s="252">
        <f t="shared" ref="J36:L36" si="7">J38+J39</f>
        <v>10600</v>
      </c>
      <c r="K36" s="252">
        <f t="shared" si="7"/>
        <v>10600</v>
      </c>
      <c r="L36" s="252">
        <f t="shared" si="7"/>
        <v>31800</v>
      </c>
    </row>
    <row r="37" spans="1:12" x14ac:dyDescent="0.25">
      <c r="A37" s="401"/>
      <c r="B37" s="402"/>
      <c r="C37" s="402"/>
      <c r="D37" s="106" t="s">
        <v>31</v>
      </c>
      <c r="E37" s="107"/>
      <c r="F37" s="107" t="s">
        <v>30</v>
      </c>
      <c r="G37" s="107" t="s">
        <v>30</v>
      </c>
      <c r="H37" s="107" t="s">
        <v>30</v>
      </c>
      <c r="I37" s="252"/>
      <c r="J37" s="252"/>
      <c r="K37" s="252"/>
      <c r="L37" s="252">
        <f t="shared" si="1"/>
        <v>0</v>
      </c>
    </row>
    <row r="38" spans="1:12" ht="31.5" x14ac:dyDescent="0.25">
      <c r="A38" s="401"/>
      <c r="B38" s="402"/>
      <c r="C38" s="402"/>
      <c r="D38" s="106" t="s">
        <v>65</v>
      </c>
      <c r="E38" s="107">
        <f>E29</f>
        <v>241</v>
      </c>
      <c r="F38" s="107" t="s">
        <v>30</v>
      </c>
      <c r="G38" s="107" t="s">
        <v>30</v>
      </c>
      <c r="H38" s="107" t="s">
        <v>30</v>
      </c>
      <c r="I38" s="252">
        <f>'пр к ПП4'!H15</f>
        <v>10600</v>
      </c>
      <c r="J38" s="252">
        <f>'пр к ПП4'!I15</f>
        <v>10600</v>
      </c>
      <c r="K38" s="252">
        <f>'пр к ПП4'!J15</f>
        <v>10600</v>
      </c>
      <c r="L38" s="252">
        <f>'пр к ПП4'!K15</f>
        <v>31800</v>
      </c>
    </row>
    <row r="39" spans="1:12" ht="47.25" x14ac:dyDescent="0.25">
      <c r="A39" s="401"/>
      <c r="B39" s="402"/>
      <c r="C39" s="402"/>
      <c r="D39" s="163" t="s">
        <v>94</v>
      </c>
      <c r="E39" s="162">
        <f>E30</f>
        <v>242</v>
      </c>
      <c r="F39" s="162" t="s">
        <v>30</v>
      </c>
      <c r="G39" s="162" t="s">
        <v>30</v>
      </c>
      <c r="H39" s="162" t="s">
        <v>30</v>
      </c>
      <c r="I39" s="252">
        <f>'пр к ПП4'!H19</f>
        <v>0</v>
      </c>
      <c r="J39" s="252">
        <f>'пр к ПП4'!I19</f>
        <v>0</v>
      </c>
      <c r="K39" s="252">
        <f>'пр к ПП4'!J19</f>
        <v>0</v>
      </c>
      <c r="L39" s="252">
        <f>'пр к ПП4'!K19</f>
        <v>0</v>
      </c>
    </row>
    <row r="47" spans="1:12" x14ac:dyDescent="0.25">
      <c r="B47" s="1" t="s">
        <v>228</v>
      </c>
    </row>
    <row r="48" spans="1:12" x14ac:dyDescent="0.25">
      <c r="B48" s="1" t="s">
        <v>229</v>
      </c>
      <c r="I48" s="1" t="b">
        <f>I23='пр к ПП1'!H33</f>
        <v>1</v>
      </c>
      <c r="J48" s="1" t="b">
        <f>J23='пр к ПП1'!I33</f>
        <v>1</v>
      </c>
      <c r="K48" s="1" t="b">
        <f>K23='пр к ПП1'!J33</f>
        <v>1</v>
      </c>
      <c r="L48" s="1" t="b">
        <f>L23='пр к ПП1'!K33</f>
        <v>1</v>
      </c>
    </row>
    <row r="49" spans="2:12" x14ac:dyDescent="0.25">
      <c r="B49" s="1" t="s">
        <v>230</v>
      </c>
      <c r="I49" s="1" t="b">
        <f>I27='пр к ПП2'!H35</f>
        <v>1</v>
      </c>
      <c r="J49" s="1" t="b">
        <f>J27='пр к ПП2'!I35</f>
        <v>1</v>
      </c>
      <c r="K49" s="1" t="b">
        <f>K27='пр к ПП2'!J35</f>
        <v>1</v>
      </c>
      <c r="L49" s="1" t="b">
        <f>L27='пр к ПП2'!K35</f>
        <v>1</v>
      </c>
    </row>
    <row r="50" spans="2:12" x14ac:dyDescent="0.25">
      <c r="B50" s="1" t="s">
        <v>231</v>
      </c>
      <c r="I50" s="1" t="b">
        <f>I32='пр к ПП3'!H24</f>
        <v>1</v>
      </c>
      <c r="J50" s="1" t="b">
        <f>J32='пр к ПП3'!I24</f>
        <v>1</v>
      </c>
      <c r="K50" s="1" t="b">
        <f>K32='пр к ПП3'!J24</f>
        <v>1</v>
      </c>
      <c r="L50" s="1" t="b">
        <f>L32='пр к ПП3'!K24</f>
        <v>1</v>
      </c>
    </row>
    <row r="51" spans="2:12" x14ac:dyDescent="0.25">
      <c r="B51" s="1" t="s">
        <v>232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229</v>
      </c>
      <c r="I54" s="122">
        <f>I23-'пр к ПП1'!H33</f>
        <v>0</v>
      </c>
      <c r="J54" s="122">
        <f>J23-'пр к ПП1'!I33</f>
        <v>0</v>
      </c>
      <c r="K54" s="122">
        <f>K23-'пр к ПП1'!J33</f>
        <v>0</v>
      </c>
      <c r="L54" s="122">
        <f>L23-'пр к ПП1'!K33</f>
        <v>0</v>
      </c>
    </row>
    <row r="55" spans="2:12" x14ac:dyDescent="0.25">
      <c r="B55" s="1" t="s">
        <v>230</v>
      </c>
      <c r="I55" s="122">
        <f>I27-'пр к ПП2'!H35</f>
        <v>0</v>
      </c>
      <c r="J55" s="122">
        <f>J27-'пр к ПП2'!I35</f>
        <v>0</v>
      </c>
      <c r="K55" s="122">
        <f>K27-'пр к ПП2'!J35</f>
        <v>0</v>
      </c>
      <c r="L55" s="122">
        <f>L27-'пр к ПП2'!K35</f>
        <v>0</v>
      </c>
    </row>
    <row r="56" spans="2:12" x14ac:dyDescent="0.25">
      <c r="B56" s="1" t="s">
        <v>231</v>
      </c>
      <c r="I56" s="122">
        <f>I32-'пр к ПП3'!H24</f>
        <v>0</v>
      </c>
      <c r="J56" s="122">
        <f>J32-'пр к ПП3'!I24</f>
        <v>0</v>
      </c>
      <c r="K56" s="122">
        <f>K32-'пр к ПП3'!J24</f>
        <v>0</v>
      </c>
      <c r="L56" s="122">
        <f>L32-'пр к ПП3'!K24</f>
        <v>0</v>
      </c>
    </row>
    <row r="57" spans="2:12" x14ac:dyDescent="0.25">
      <c r="B57" s="1" t="s">
        <v>232</v>
      </c>
      <c r="I57" s="122">
        <f>I36-'пр к ПП4'!H20</f>
        <v>0</v>
      </c>
      <c r="J57" s="122">
        <f>J36-'пр к ПП4'!I20</f>
        <v>0</v>
      </c>
      <c r="K57" s="122">
        <f>K36-'пр к ПП4'!J20</f>
        <v>0</v>
      </c>
      <c r="L57" s="122">
        <f>L36-'пр к ПП4'!K20</f>
        <v>0</v>
      </c>
    </row>
  </sheetData>
  <mergeCells count="27"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Y73"/>
  <sheetViews>
    <sheetView tabSelected="1" view="pageBreakPreview" topLeftCell="C4" zoomScale="70" zoomScaleNormal="70" zoomScaleSheetLayoutView="70" workbookViewId="0">
      <selection activeCell="K19" sqref="K19"/>
    </sheetView>
  </sheetViews>
  <sheetFormatPr defaultRowHeight="18.75" outlineLevelRow="1" outlineLevelCol="1" x14ac:dyDescent="0.3"/>
  <cols>
    <col min="1" max="1" width="5.375" style="18" customWidth="1"/>
    <col min="2" max="2" width="24.375" style="6" customWidth="1"/>
    <col min="3" max="3" width="25" style="6" customWidth="1"/>
    <col min="4" max="4" width="27.5" style="6" customWidth="1"/>
    <col min="5" max="5" width="17.25" style="40" customWidth="1" outlineLevel="1"/>
    <col min="6" max="8" width="14.25" style="40" customWidth="1" outlineLevel="1"/>
    <col min="9" max="11" width="14.625" style="40" customWidth="1" outlineLevel="1"/>
    <col min="12" max="12" width="16.125" style="6" customWidth="1"/>
    <col min="13" max="14" width="15.625" style="6" customWidth="1"/>
    <col min="15" max="15" width="18.125" style="6" bestFit="1" customWidth="1"/>
    <col min="16" max="16" width="14.875" style="6" customWidth="1" outlineLevel="1"/>
    <col min="17" max="17" width="17.875" style="76" customWidth="1" outlineLevel="1"/>
    <col min="18" max="18" width="10.75" style="6" customWidth="1" outlineLevel="1"/>
    <col min="19" max="19" width="12.5" style="6" bestFit="1" customWidth="1"/>
    <col min="20" max="20" width="16.875" style="6" customWidth="1"/>
    <col min="21" max="21" width="11.375" style="6" bestFit="1" customWidth="1"/>
    <col min="22" max="24" width="9" style="6"/>
    <col min="25" max="25" width="11.375" style="6" bestFit="1" customWidth="1"/>
    <col min="26" max="16384" width="9" style="6"/>
  </cols>
  <sheetData>
    <row r="1" spans="1:15" ht="82.5" hidden="1" customHeight="1" outlineLevel="1" x14ac:dyDescent="0.3">
      <c r="L1" s="352" t="s">
        <v>253</v>
      </c>
      <c r="M1" s="352"/>
      <c r="N1" s="352"/>
      <c r="O1" s="352"/>
    </row>
    <row r="2" spans="1:15" hidden="1" outlineLevel="1" x14ac:dyDescent="0.3"/>
    <row r="3" spans="1:15" hidden="1" outlineLevel="1" x14ac:dyDescent="0.3"/>
    <row r="4" spans="1:15" collapsed="1" x14ac:dyDescent="0.3">
      <c r="L4" s="11" t="s">
        <v>163</v>
      </c>
    </row>
    <row r="5" spans="1:15" ht="61.5" customHeight="1" x14ac:dyDescent="0.3">
      <c r="L5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M5" s="336"/>
      <c r="N5" s="336"/>
      <c r="O5" s="336"/>
    </row>
    <row r="6" spans="1:15" x14ac:dyDescent="0.3">
      <c r="A6" s="12"/>
    </row>
    <row r="7" spans="1:15" x14ac:dyDescent="0.3">
      <c r="A7" s="12"/>
    </row>
    <row r="8" spans="1:15" x14ac:dyDescent="0.3">
      <c r="A8" s="339" t="s">
        <v>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</row>
    <row r="9" spans="1:15" x14ac:dyDescent="0.3">
      <c r="A9" s="339" t="s">
        <v>41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</row>
    <row r="10" spans="1:15" x14ac:dyDescent="0.3">
      <c r="A10" s="339" t="s">
        <v>42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1:15" x14ac:dyDescent="0.3">
      <c r="A11" s="339" t="s">
        <v>43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</row>
    <row r="12" spans="1:15" x14ac:dyDescent="0.3">
      <c r="A12" s="339" t="s">
        <v>44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</row>
    <row r="13" spans="1:15" x14ac:dyDescent="0.3">
      <c r="A13" s="339" t="s">
        <v>45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</row>
    <row r="14" spans="1:15" x14ac:dyDescent="0.3">
      <c r="A14" s="12"/>
    </row>
    <row r="15" spans="1:15" x14ac:dyDescent="0.3">
      <c r="O15" s="5" t="s">
        <v>209</v>
      </c>
    </row>
    <row r="16" spans="1:15" ht="27.75" customHeight="1" x14ac:dyDescent="0.3">
      <c r="A16" s="326" t="s">
        <v>19</v>
      </c>
      <c r="B16" s="404" t="s">
        <v>33</v>
      </c>
      <c r="C16" s="404" t="s">
        <v>34</v>
      </c>
      <c r="D16" s="326" t="s">
        <v>38</v>
      </c>
      <c r="E16" s="35">
        <v>2014</v>
      </c>
      <c r="F16" s="35">
        <v>2015</v>
      </c>
      <c r="G16" s="35">
        <v>2016</v>
      </c>
      <c r="H16" s="35">
        <v>2017</v>
      </c>
      <c r="I16" s="35" t="s">
        <v>54</v>
      </c>
      <c r="J16" s="35" t="s">
        <v>55</v>
      </c>
      <c r="K16" s="35" t="s">
        <v>58</v>
      </c>
      <c r="L16" s="142">
        <v>2021</v>
      </c>
      <c r="M16" s="142">
        <v>2022</v>
      </c>
      <c r="N16" s="193">
        <v>2023</v>
      </c>
      <c r="O16" s="404" t="s">
        <v>24</v>
      </c>
    </row>
    <row r="17" spans="1:21" x14ac:dyDescent="0.3">
      <c r="A17" s="326"/>
      <c r="B17" s="404"/>
      <c r="C17" s="404"/>
      <c r="D17" s="326"/>
      <c r="E17" s="35"/>
      <c r="F17" s="35"/>
      <c r="G17" s="35"/>
      <c r="H17" s="35"/>
      <c r="I17" s="35"/>
      <c r="J17" s="35" t="s">
        <v>29</v>
      </c>
      <c r="K17" s="35"/>
      <c r="L17" s="91" t="s">
        <v>29</v>
      </c>
      <c r="M17" s="91" t="s">
        <v>29</v>
      </c>
      <c r="N17" s="193" t="s">
        <v>29</v>
      </c>
      <c r="O17" s="404"/>
    </row>
    <row r="18" spans="1:21" x14ac:dyDescent="0.3">
      <c r="A18" s="136">
        <v>1</v>
      </c>
      <c r="B18" s="136">
        <v>2</v>
      </c>
      <c r="C18" s="136">
        <v>3</v>
      </c>
      <c r="D18" s="136">
        <v>4</v>
      </c>
      <c r="E18" s="35"/>
      <c r="F18" s="35"/>
      <c r="G18" s="35"/>
      <c r="H18" s="35"/>
      <c r="I18" s="35">
        <v>5</v>
      </c>
      <c r="J18" s="35">
        <v>6</v>
      </c>
      <c r="K18" s="35"/>
      <c r="L18" s="136">
        <v>6</v>
      </c>
      <c r="M18" s="136">
        <v>7</v>
      </c>
      <c r="N18" s="193">
        <v>7</v>
      </c>
      <c r="O18" s="136">
        <v>8</v>
      </c>
      <c r="T18" s="6">
        <f>1650830+19900000+27398600+13967500+1084171.92+2238755+15248371+400000+79920</f>
        <v>81968147.920000002</v>
      </c>
    </row>
    <row r="19" spans="1:21" x14ac:dyDescent="0.3">
      <c r="A19" s="401">
        <v>1</v>
      </c>
      <c r="B19" s="407" t="s">
        <v>39</v>
      </c>
      <c r="C19" s="407" t="str">
        <f>'пр 6 к МП'!C17</f>
        <v>Развитие транспортной системы и связи Туруханского района</v>
      </c>
      <c r="D19" s="147" t="s">
        <v>37</v>
      </c>
      <c r="E19" s="77">
        <f>E26+E33+E40+E47</f>
        <v>165376.84903000001</v>
      </c>
      <c r="F19" s="77">
        <f t="shared" ref="F19" si="0">F26+F33+F40+F47</f>
        <v>132504.82329</v>
      </c>
      <c r="G19" s="77">
        <f>G26+G33+G40+G47</f>
        <v>168993.47096999999</v>
      </c>
      <c r="H19" s="77">
        <f>H26+H33+H40+H47</f>
        <v>155455.69513999997</v>
      </c>
      <c r="I19" s="77">
        <f>I26+I33+I40+I47</f>
        <v>165993.04453999997</v>
      </c>
      <c r="J19" s="77">
        <f t="shared" ref="J19" si="1">J26+J33+J40+J47</f>
        <v>190229.62046000001</v>
      </c>
      <c r="K19" s="77">
        <f>K26+K33+K40+K47</f>
        <v>239026.731</v>
      </c>
      <c r="L19" s="78">
        <f>L21+L22+L23+L24+L25</f>
        <v>221192.63199999998</v>
      </c>
      <c r="M19" s="78">
        <f>M21+M22+M23+M24+M25</f>
        <v>222332.432</v>
      </c>
      <c r="N19" s="78">
        <f t="shared" ref="N19:O19" si="2">N21+N22+N23+N24+N25</f>
        <v>223517.83199999999</v>
      </c>
      <c r="O19" s="78">
        <f t="shared" si="2"/>
        <v>667042.89600000007</v>
      </c>
      <c r="P19" s="79">
        <f>O19-'пр 6 к МП'!L17</f>
        <v>0</v>
      </c>
      <c r="Q19" s="80">
        <f>SUM(E19:N19)</f>
        <v>1884623.1304299999</v>
      </c>
      <c r="R19" s="6" t="b">
        <f>SUM(Q21:Q25)=Q19</f>
        <v>1</v>
      </c>
      <c r="T19" s="220">
        <f>T18/1000</f>
        <v>81968.147920000003</v>
      </c>
    </row>
    <row r="20" spans="1:21" x14ac:dyDescent="0.3">
      <c r="A20" s="401"/>
      <c r="B20" s="407"/>
      <c r="C20" s="407"/>
      <c r="D20" s="137" t="s">
        <v>20</v>
      </c>
      <c r="E20" s="81"/>
      <c r="F20" s="81"/>
      <c r="G20" s="81"/>
      <c r="H20" s="81"/>
      <c r="I20" s="81"/>
      <c r="J20" s="81"/>
      <c r="K20" s="81"/>
      <c r="L20" s="82"/>
      <c r="M20" s="82"/>
      <c r="N20" s="82"/>
      <c r="O20" s="82"/>
      <c r="P20" s="79"/>
      <c r="Q20" s="80"/>
      <c r="T20" s="221"/>
    </row>
    <row r="21" spans="1:21" x14ac:dyDescent="0.3">
      <c r="A21" s="401"/>
      <c r="B21" s="407"/>
      <c r="C21" s="407"/>
      <c r="D21" s="7" t="s">
        <v>99</v>
      </c>
      <c r="E21" s="81">
        <f t="shared" ref="E21:I21" si="3">E28+E35+E42+E49</f>
        <v>0</v>
      </c>
      <c r="F21" s="81">
        <f t="shared" si="3"/>
        <v>0</v>
      </c>
      <c r="G21" s="81">
        <f t="shared" si="3"/>
        <v>0</v>
      </c>
      <c r="H21" s="81">
        <f t="shared" ref="H21" si="4">H28+H35+H42+H49</f>
        <v>0</v>
      </c>
      <c r="I21" s="81">
        <f t="shared" si="3"/>
        <v>0</v>
      </c>
      <c r="J21" s="81">
        <f t="shared" ref="J21:L21" si="5">J28+J35+J42+J49</f>
        <v>0</v>
      </c>
      <c r="K21" s="81">
        <f t="shared" ref="K21" si="6">K28+K35+K42+K49</f>
        <v>0</v>
      </c>
      <c r="L21" s="82">
        <f t="shared" si="5"/>
        <v>0</v>
      </c>
      <c r="M21" s="82">
        <f t="shared" ref="M21:N21" si="7">M28+M35+M42+M49</f>
        <v>0</v>
      </c>
      <c r="N21" s="82">
        <f t="shared" si="7"/>
        <v>0</v>
      </c>
      <c r="O21" s="82">
        <f>SUM(L21:N21)</f>
        <v>0</v>
      </c>
      <c r="P21" s="79"/>
      <c r="Q21" s="80">
        <f t="shared" ref="Q21:Q53" si="8">SUM(E21:N21)</f>
        <v>0</v>
      </c>
    </row>
    <row r="22" spans="1:21" x14ac:dyDescent="0.3">
      <c r="A22" s="401"/>
      <c r="B22" s="407"/>
      <c r="C22" s="407"/>
      <c r="D22" s="137" t="s">
        <v>100</v>
      </c>
      <c r="E22" s="81">
        <f>E29+E36+E43+E50</f>
        <v>33226.424510000004</v>
      </c>
      <c r="F22" s="81">
        <f t="shared" ref="F22:G22" si="9">F29+F36+F43+F50</f>
        <v>33544.400000000001</v>
      </c>
      <c r="G22" s="81">
        <f t="shared" si="9"/>
        <v>55791.640999999996</v>
      </c>
      <c r="H22" s="81">
        <f t="shared" ref="H22" si="10">H29+H36+H43+H50</f>
        <v>50192.994449999998</v>
      </c>
      <c r="I22" s="81">
        <f>I29+I36+I43+I50</f>
        <v>43661.469730000004</v>
      </c>
      <c r="J22" s="81">
        <f>J29+J36+J43+J50</f>
        <v>52152.521000000001</v>
      </c>
      <c r="K22" s="81">
        <f>K29+K36+K43+K50</f>
        <v>65450.553999999996</v>
      </c>
      <c r="L22" s="82">
        <f>L29+L36+L43+L50</f>
        <v>44003.799999999996</v>
      </c>
      <c r="M22" s="82">
        <f t="shared" ref="M22:N22" si="11">M29+M36+M43+M50</f>
        <v>45143.6</v>
      </c>
      <c r="N22" s="82">
        <f t="shared" si="11"/>
        <v>46329</v>
      </c>
      <c r="O22" s="82">
        <f>SUM(L22:N22)</f>
        <v>135476.4</v>
      </c>
      <c r="P22" s="79"/>
      <c r="Q22" s="80">
        <f>SUM(E22:N22)</f>
        <v>469496.40469</v>
      </c>
    </row>
    <row r="23" spans="1:21" x14ac:dyDescent="0.3">
      <c r="A23" s="401"/>
      <c r="B23" s="407"/>
      <c r="C23" s="407"/>
      <c r="D23" s="137" t="s">
        <v>40</v>
      </c>
      <c r="E23" s="81">
        <f>E30+E37+E44+E51</f>
        <v>132150.42452</v>
      </c>
      <c r="F23" s="81">
        <f t="shared" ref="F23:G23" si="12">F30+F37+F44+F51</f>
        <v>98960.423290000006</v>
      </c>
      <c r="G23" s="81">
        <f t="shared" si="12"/>
        <v>113001.82996999999</v>
      </c>
      <c r="H23" s="81">
        <f t="shared" ref="H23" si="13">H30+H37+H44+H51</f>
        <v>105262.70068999998</v>
      </c>
      <c r="I23" s="81">
        <f>I30+I37+I44+I51</f>
        <v>122331.57480999999</v>
      </c>
      <c r="J23" s="81">
        <f t="shared" ref="J23:K23" si="14">J30+J37+J44+J51</f>
        <v>138077.09946</v>
      </c>
      <c r="K23" s="81">
        <f t="shared" si="14"/>
        <v>173576.177</v>
      </c>
      <c r="L23" s="82">
        <f>L30+L37+L44+L51</f>
        <v>177188.83199999999</v>
      </c>
      <c r="M23" s="82">
        <f t="shared" ref="M23:O23" si="15">M30+M37+M44+M51</f>
        <v>177188.83199999999</v>
      </c>
      <c r="N23" s="82">
        <f t="shared" si="15"/>
        <v>177188.83199999999</v>
      </c>
      <c r="O23" s="82">
        <f t="shared" si="15"/>
        <v>531566.49600000004</v>
      </c>
      <c r="P23" s="79"/>
      <c r="Q23" s="80">
        <f>SUM(E23:N23)</f>
        <v>1414926.7257399999</v>
      </c>
    </row>
    <row r="24" spans="1:21" ht="48" x14ac:dyDescent="0.3">
      <c r="A24" s="401"/>
      <c r="B24" s="407"/>
      <c r="C24" s="407"/>
      <c r="D24" s="8" t="s">
        <v>101</v>
      </c>
      <c r="E24" s="81">
        <f t="shared" ref="E24:G24" si="16">E31+E38+E45+E52</f>
        <v>0</v>
      </c>
      <c r="F24" s="81">
        <f t="shared" si="16"/>
        <v>0</v>
      </c>
      <c r="G24" s="81">
        <f t="shared" si="16"/>
        <v>0</v>
      </c>
      <c r="H24" s="81">
        <f t="shared" ref="H24" si="17">H31+H38+H45+H52</f>
        <v>0</v>
      </c>
      <c r="I24" s="81">
        <f t="shared" ref="I24:L24" si="18">I31+I38+I45+I52</f>
        <v>0</v>
      </c>
      <c r="J24" s="81">
        <f t="shared" ref="J24:K24" si="19">J31+J38+J45+J52</f>
        <v>0</v>
      </c>
      <c r="K24" s="81">
        <f t="shared" si="19"/>
        <v>0</v>
      </c>
      <c r="L24" s="82">
        <f t="shared" si="18"/>
        <v>0</v>
      </c>
      <c r="M24" s="82">
        <f t="shared" ref="M24:N24" si="20">M31+M38+M45+M52</f>
        <v>0</v>
      </c>
      <c r="N24" s="82">
        <f t="shared" si="20"/>
        <v>0</v>
      </c>
      <c r="O24" s="82">
        <f>SUM(L24:N24)</f>
        <v>0</v>
      </c>
      <c r="P24" s="79"/>
      <c r="Q24" s="80">
        <f t="shared" si="8"/>
        <v>0</v>
      </c>
    </row>
    <row r="25" spans="1:21" ht="19.5" thickBot="1" x14ac:dyDescent="0.35">
      <c r="A25" s="401"/>
      <c r="B25" s="407"/>
      <c r="C25" s="407"/>
      <c r="D25" s="137" t="s">
        <v>21</v>
      </c>
      <c r="E25" s="81">
        <f t="shared" ref="E25:G25" si="21">E32+E39+E46+E53</f>
        <v>0</v>
      </c>
      <c r="F25" s="81">
        <f t="shared" si="21"/>
        <v>0</v>
      </c>
      <c r="G25" s="81">
        <f t="shared" si="21"/>
        <v>200</v>
      </c>
      <c r="H25" s="81">
        <f t="shared" ref="H25" si="22">H32+H39+H46+H53</f>
        <v>0</v>
      </c>
      <c r="I25" s="81">
        <f t="shared" ref="I25:L25" si="23">I32+I39+I46+I53</f>
        <v>0</v>
      </c>
      <c r="J25" s="81">
        <f t="shared" ref="J25:K25" si="24">J32+J39+J46+J53</f>
        <v>0</v>
      </c>
      <c r="K25" s="81">
        <f t="shared" si="24"/>
        <v>0</v>
      </c>
      <c r="L25" s="82">
        <f t="shared" si="23"/>
        <v>0</v>
      </c>
      <c r="M25" s="82">
        <f t="shared" ref="M25:N25" si="25">M32+M39+M46+M53</f>
        <v>0</v>
      </c>
      <c r="N25" s="82">
        <f t="shared" si="25"/>
        <v>0</v>
      </c>
      <c r="O25" s="82">
        <f>SUM(L25:N25)</f>
        <v>0</v>
      </c>
      <c r="P25" s="79"/>
      <c r="Q25" s="80">
        <f t="shared" si="8"/>
        <v>200</v>
      </c>
    </row>
    <row r="26" spans="1:21" s="128" customFormat="1" x14ac:dyDescent="0.3">
      <c r="A26" s="401" t="s">
        <v>3</v>
      </c>
      <c r="B26" s="407" t="s">
        <v>15</v>
      </c>
      <c r="C26" s="407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47" t="s">
        <v>37</v>
      </c>
      <c r="E26" s="77">
        <f>SUM(E28:E32)</f>
        <v>38654.857510000002</v>
      </c>
      <c r="F26" s="77">
        <f t="shared" ref="F26:H26" si="26">SUM(F28:F32)</f>
        <v>38642.90999</v>
      </c>
      <c r="G26" s="77">
        <f t="shared" si="26"/>
        <v>64679.243999999999</v>
      </c>
      <c r="H26" s="77">
        <f t="shared" si="26"/>
        <v>51991.447849999997</v>
      </c>
      <c r="I26" s="77">
        <f>SUM(I28:I32)</f>
        <v>46554.788160000011</v>
      </c>
      <c r="J26" s="77">
        <f t="shared" ref="J26:K26" si="27">SUM(J28:J32)</f>
        <v>59160.668460000001</v>
      </c>
      <c r="K26" s="77">
        <f t="shared" si="27"/>
        <v>81968.146999999997</v>
      </c>
      <c r="L26" s="78">
        <f>SUM(L28:L32)</f>
        <v>63964.784999999996</v>
      </c>
      <c r="M26" s="78">
        <f t="shared" ref="M26:N26" si="28">SUM(M28:M32)</f>
        <v>65104.584999999999</v>
      </c>
      <c r="N26" s="78">
        <f t="shared" si="28"/>
        <v>66289.985000000001</v>
      </c>
      <c r="O26" s="78">
        <f>SUM(L26:N26)</f>
        <v>195359.35499999998</v>
      </c>
      <c r="P26" s="126">
        <f>O26-'пр 6 к МП'!L23</f>
        <v>0</v>
      </c>
      <c r="Q26" s="127">
        <f>SUM(E26:N26)</f>
        <v>577011.41797000007</v>
      </c>
      <c r="R26" s="128" t="b">
        <f>SUM(Q28:Q32)=Q26</f>
        <v>1</v>
      </c>
    </row>
    <row r="27" spans="1:21" s="131" customFormat="1" x14ac:dyDescent="0.3">
      <c r="A27" s="401"/>
      <c r="B27" s="407"/>
      <c r="C27" s="407"/>
      <c r="D27" s="137" t="s">
        <v>20</v>
      </c>
      <c r="E27" s="83"/>
      <c r="F27" s="83"/>
      <c r="G27" s="83"/>
      <c r="H27" s="83"/>
      <c r="I27" s="81"/>
      <c r="J27" s="81"/>
      <c r="K27" s="81"/>
      <c r="L27" s="82"/>
      <c r="M27" s="82"/>
      <c r="N27" s="82"/>
      <c r="O27" s="82"/>
      <c r="P27" s="129"/>
      <c r="Q27" s="130">
        <f t="shared" si="8"/>
        <v>0</v>
      </c>
    </row>
    <row r="28" spans="1:21" s="131" customFormat="1" x14ac:dyDescent="0.3">
      <c r="A28" s="401"/>
      <c r="B28" s="407"/>
      <c r="C28" s="407"/>
      <c r="D28" s="7" t="s">
        <v>99</v>
      </c>
      <c r="E28" s="83"/>
      <c r="F28" s="83"/>
      <c r="G28" s="83"/>
      <c r="H28" s="83"/>
      <c r="I28" s="81"/>
      <c r="J28" s="81"/>
      <c r="K28" s="81"/>
      <c r="L28" s="82"/>
      <c r="M28" s="82"/>
      <c r="N28" s="82"/>
      <c r="O28" s="82">
        <f t="shared" ref="O28:O33" si="29">SUM(L28:N28)</f>
        <v>0</v>
      </c>
      <c r="P28" s="129"/>
      <c r="Q28" s="130">
        <f t="shared" si="8"/>
        <v>0</v>
      </c>
    </row>
    <row r="29" spans="1:21" s="131" customFormat="1" x14ac:dyDescent="0.3">
      <c r="A29" s="401"/>
      <c r="B29" s="407"/>
      <c r="C29" s="407"/>
      <c r="D29" s="137" t="s">
        <v>100</v>
      </c>
      <c r="E29" s="83">
        <v>33203.024510000003</v>
      </c>
      <c r="F29" s="83">
        <v>33544.400000000001</v>
      </c>
      <c r="G29" s="83">
        <v>55649.004999999997</v>
      </c>
      <c r="H29" s="83">
        <v>47780.994449999998</v>
      </c>
      <c r="I29" s="81">
        <v>40519.269730000007</v>
      </c>
      <c r="J29" s="81">
        <f>49498.086-220.5</f>
        <v>49277.586000000003</v>
      </c>
      <c r="K29" s="81">
        <v>61266.1</v>
      </c>
      <c r="L29" s="82">
        <f>'пр к ПП1'!H15+'пр к ПП1'!H17+'пр к ПП1'!H24</f>
        <v>43625.2</v>
      </c>
      <c r="M29" s="82">
        <f>'пр к ПП1'!I15+'пр к ПП1'!I17+'пр к ПП1'!I24+'пр к ПП1'!I31</f>
        <v>44765</v>
      </c>
      <c r="N29" s="82">
        <f>'пр к ПП1'!J15+'пр к ПП1'!J17+'пр к ПП1'!J24+'пр к ПП1'!J31</f>
        <v>45950.400000000001</v>
      </c>
      <c r="O29" s="82">
        <f t="shared" si="29"/>
        <v>134340.6</v>
      </c>
      <c r="P29" s="129"/>
      <c r="Q29" s="130">
        <f>SUM(E29:N29)</f>
        <v>455580.97969000007</v>
      </c>
      <c r="S29" s="129"/>
    </row>
    <row r="30" spans="1:21" s="131" customFormat="1" x14ac:dyDescent="0.3">
      <c r="A30" s="401"/>
      <c r="B30" s="407"/>
      <c r="C30" s="407"/>
      <c r="D30" s="137" t="s">
        <v>40</v>
      </c>
      <c r="E30" s="83">
        <v>5451.8330000000005</v>
      </c>
      <c r="F30" s="83">
        <v>5098.5099900000005</v>
      </c>
      <c r="G30" s="83">
        <v>8830.2389999999996</v>
      </c>
      <c r="H30" s="83">
        <v>4210.4534000000003</v>
      </c>
      <c r="I30" s="81">
        <v>6035.5184300000001</v>
      </c>
      <c r="J30" s="81">
        <f>4174.297+5708.78546</f>
        <v>9883.0824599999996</v>
      </c>
      <c r="K30" s="81">
        <v>20702.046999999999</v>
      </c>
      <c r="L30" s="82">
        <f>'пр к ПП1'!H20+'пр к ПП1'!H19+'пр к ПП1'!H22+'пр к ПП1'!H25+'пр к ПП1'!H27+'пр к ПП1'!H32</f>
        <v>20339.584999999999</v>
      </c>
      <c r="M30" s="82">
        <f>'пр к ПП1'!I20+'пр к ПП1'!I19+'пр к ПП1'!I22+'пр к ПП1'!I25+'пр к ПП1'!I27</f>
        <v>20339.584999999999</v>
      </c>
      <c r="N30" s="82">
        <f>'пр к ПП1'!J20+'пр к ПП1'!J19+'пр к ПП1'!J22+'пр к ПП1'!J25+'пр к ПП1'!J27</f>
        <v>20339.584999999999</v>
      </c>
      <c r="O30" s="82">
        <f t="shared" si="29"/>
        <v>61018.754999999997</v>
      </c>
      <c r="P30" s="129"/>
      <c r="Q30" s="130">
        <f t="shared" si="8"/>
        <v>121230.43827999997</v>
      </c>
      <c r="U30" s="258"/>
    </row>
    <row r="31" spans="1:21" s="131" customFormat="1" ht="48" x14ac:dyDescent="0.3">
      <c r="A31" s="401"/>
      <c r="B31" s="407"/>
      <c r="C31" s="407"/>
      <c r="D31" s="8" t="s">
        <v>101</v>
      </c>
      <c r="E31" s="84"/>
      <c r="F31" s="84">
        <v>0</v>
      </c>
      <c r="G31" s="84"/>
      <c r="H31" s="84"/>
      <c r="I31" s="81"/>
      <c r="J31" s="81"/>
      <c r="K31" s="81"/>
      <c r="L31" s="82"/>
      <c r="M31" s="82"/>
      <c r="N31" s="82"/>
      <c r="O31" s="82">
        <f t="shared" si="29"/>
        <v>0</v>
      </c>
      <c r="P31" s="129"/>
      <c r="Q31" s="130">
        <f t="shared" si="8"/>
        <v>0</v>
      </c>
    </row>
    <row r="32" spans="1:21" s="134" customFormat="1" ht="19.5" thickBot="1" x14ac:dyDescent="0.35">
      <c r="A32" s="401"/>
      <c r="B32" s="407"/>
      <c r="C32" s="407"/>
      <c r="D32" s="137" t="s">
        <v>21</v>
      </c>
      <c r="E32" s="83"/>
      <c r="F32" s="83"/>
      <c r="G32" s="83">
        <v>200</v>
      </c>
      <c r="H32" s="83"/>
      <c r="I32" s="81"/>
      <c r="J32" s="81"/>
      <c r="K32" s="81"/>
      <c r="L32" s="82"/>
      <c r="M32" s="82"/>
      <c r="N32" s="82"/>
      <c r="O32" s="82">
        <f t="shared" si="29"/>
        <v>0</v>
      </c>
      <c r="P32" s="132"/>
      <c r="Q32" s="133">
        <f t="shared" si="8"/>
        <v>200</v>
      </c>
    </row>
    <row r="33" spans="1:21" s="128" customFormat="1" x14ac:dyDescent="0.3">
      <c r="A33" s="401" t="s">
        <v>83</v>
      </c>
      <c r="B33" s="407" t="s">
        <v>90</v>
      </c>
      <c r="C33" s="407" t="str">
        <f>'пр 6 к МП'!C27</f>
        <v>Организация транспортного обслуживания  на территории Туруханского района</v>
      </c>
      <c r="D33" s="147" t="s">
        <v>37</v>
      </c>
      <c r="E33" s="77">
        <f t="shared" ref="E33:H33" si="30">SUM(E35:E39)</f>
        <v>119174.72440000001</v>
      </c>
      <c r="F33" s="77">
        <f t="shared" si="30"/>
        <v>81921.9133</v>
      </c>
      <c r="G33" s="77">
        <f t="shared" si="30"/>
        <v>94460.706969999999</v>
      </c>
      <c r="H33" s="77">
        <f t="shared" si="30"/>
        <v>91047.031289999984</v>
      </c>
      <c r="I33" s="77">
        <f>SUM(I35:I39)</f>
        <v>106290.91970999999</v>
      </c>
      <c r="J33" s="77">
        <f>SUM(J35:J39)</f>
        <v>118180.678</v>
      </c>
      <c r="K33" s="77">
        <f>SUM(K35:K39)</f>
        <v>142874.13</v>
      </c>
      <c r="L33" s="78">
        <f>SUM(L35:L39)</f>
        <v>146249.247</v>
      </c>
      <c r="M33" s="78">
        <f>SUM(M35:M39)</f>
        <v>146249.247</v>
      </c>
      <c r="N33" s="78">
        <f t="shared" ref="N33" si="31">SUM(N35:N39)</f>
        <v>146249.247</v>
      </c>
      <c r="O33" s="78">
        <f t="shared" si="29"/>
        <v>438747.74100000004</v>
      </c>
      <c r="P33" s="126">
        <f>O33-'пр 6 к МП'!L27</f>
        <v>0</v>
      </c>
      <c r="Q33" s="127">
        <f t="shared" si="8"/>
        <v>1192697.84467</v>
      </c>
      <c r="R33" s="128" t="b">
        <f>SUM(Q35:Q39)=Q33</f>
        <v>1</v>
      </c>
    </row>
    <row r="34" spans="1:21" s="131" customFormat="1" x14ac:dyDescent="0.3">
      <c r="A34" s="401"/>
      <c r="B34" s="407"/>
      <c r="C34" s="407"/>
      <c r="D34" s="137" t="s">
        <v>20</v>
      </c>
      <c r="E34" s="83"/>
      <c r="F34" s="83"/>
      <c r="G34" s="83"/>
      <c r="H34" s="83"/>
      <c r="I34" s="81"/>
      <c r="J34" s="81"/>
      <c r="K34" s="81"/>
      <c r="L34" s="82"/>
      <c r="M34" s="82"/>
      <c r="N34" s="82"/>
      <c r="O34" s="82"/>
      <c r="P34" s="129"/>
      <c r="Q34" s="130">
        <f t="shared" si="8"/>
        <v>0</v>
      </c>
    </row>
    <row r="35" spans="1:21" s="131" customFormat="1" x14ac:dyDescent="0.3">
      <c r="A35" s="401"/>
      <c r="B35" s="407"/>
      <c r="C35" s="407"/>
      <c r="D35" s="7" t="s">
        <v>99</v>
      </c>
      <c r="E35" s="83"/>
      <c r="F35" s="83"/>
      <c r="G35" s="83"/>
      <c r="H35" s="83"/>
      <c r="I35" s="81"/>
      <c r="J35" s="81"/>
      <c r="K35" s="81"/>
      <c r="L35" s="82"/>
      <c r="M35" s="82"/>
      <c r="N35" s="82"/>
      <c r="O35" s="82">
        <f t="shared" ref="O35:O40" si="32">SUM(L35:N35)</f>
        <v>0</v>
      </c>
      <c r="P35" s="129"/>
      <c r="Q35" s="130">
        <f t="shared" si="8"/>
        <v>0</v>
      </c>
      <c r="S35" s="131">
        <f>102577093+26642837+810700+320000+10048500+2475000</f>
        <v>142874130</v>
      </c>
      <c r="T35" s="129">
        <f>S35/1000</f>
        <v>142874.13</v>
      </c>
      <c r="U35" s="129">
        <f>T35-K37</f>
        <v>0</v>
      </c>
    </row>
    <row r="36" spans="1:21" s="131" customFormat="1" x14ac:dyDescent="0.3">
      <c r="A36" s="401"/>
      <c r="B36" s="407"/>
      <c r="C36" s="407"/>
      <c r="D36" s="137" t="s">
        <v>100</v>
      </c>
      <c r="E36" s="83"/>
      <c r="F36" s="83"/>
      <c r="G36" s="83"/>
      <c r="H36" s="83"/>
      <c r="I36" s="81"/>
      <c r="J36" s="81"/>
      <c r="K36" s="81"/>
      <c r="L36" s="82"/>
      <c r="M36" s="82"/>
      <c r="N36" s="82"/>
      <c r="O36" s="82">
        <f t="shared" si="32"/>
        <v>0</v>
      </c>
      <c r="P36" s="129"/>
      <c r="Q36" s="130">
        <f t="shared" si="8"/>
        <v>0</v>
      </c>
    </row>
    <row r="37" spans="1:21" s="131" customFormat="1" x14ac:dyDescent="0.3">
      <c r="A37" s="401"/>
      <c r="B37" s="407"/>
      <c r="C37" s="407"/>
      <c r="D37" s="137" t="s">
        <v>40</v>
      </c>
      <c r="E37" s="83">
        <v>119174.72440000001</v>
      </c>
      <c r="F37" s="83">
        <v>81921.9133</v>
      </c>
      <c r="G37" s="83">
        <v>94460.706969999999</v>
      </c>
      <c r="H37" s="83">
        <v>91047.031289999984</v>
      </c>
      <c r="I37" s="81">
        <v>106290.91970999999</v>
      </c>
      <c r="J37" s="81">
        <v>118180.678</v>
      </c>
      <c r="K37" s="81">
        <v>142874.13</v>
      </c>
      <c r="L37" s="82">
        <f>'пр к ПП2'!H16+'пр к ПП2'!H18+'пр к ПП2'!H20+'пр к ПП2'!H28+'пр к ПП2'!H31+'пр к ПП2'!H34</f>
        <v>146249.247</v>
      </c>
      <c r="M37" s="82">
        <f>'пр к ПП2'!I16+'пр к ПП2'!I18+'пр к ПП2'!I28+'пр к ПП2'!I31+'пр к ПП2'!I34</f>
        <v>146249.247</v>
      </c>
      <c r="N37" s="82">
        <f>'пр к ПП2'!J16+'пр к ПП2'!J18+'пр к ПП2'!J28+'пр к ПП2'!J31+'пр к ПП2'!J34</f>
        <v>146249.247</v>
      </c>
      <c r="O37" s="82">
        <f>'пр к ПП2'!K16+'пр к ПП2'!K18+'пр к ПП2'!K28+'пр к ПП2'!K31+'пр к ПП2'!K34</f>
        <v>438747.74099999998</v>
      </c>
      <c r="P37" s="129"/>
      <c r="Q37" s="130">
        <f t="shared" si="8"/>
        <v>1192697.84467</v>
      </c>
    </row>
    <row r="38" spans="1:21" s="131" customFormat="1" ht="48" x14ac:dyDescent="0.3">
      <c r="A38" s="401"/>
      <c r="B38" s="407"/>
      <c r="C38" s="407"/>
      <c r="D38" s="8" t="s">
        <v>101</v>
      </c>
      <c r="E38" s="84"/>
      <c r="F38" s="84"/>
      <c r="G38" s="84"/>
      <c r="H38" s="84"/>
      <c r="I38" s="81"/>
      <c r="J38" s="81"/>
      <c r="K38" s="81"/>
      <c r="L38" s="82"/>
      <c r="M38" s="82"/>
      <c r="N38" s="82"/>
      <c r="O38" s="82">
        <f t="shared" si="32"/>
        <v>0</v>
      </c>
      <c r="P38" s="129"/>
      <c r="Q38" s="130">
        <f t="shared" si="8"/>
        <v>0</v>
      </c>
    </row>
    <row r="39" spans="1:21" s="134" customFormat="1" ht="19.5" thickBot="1" x14ac:dyDescent="0.35">
      <c r="A39" s="401"/>
      <c r="B39" s="407"/>
      <c r="C39" s="407"/>
      <c r="D39" s="137" t="s">
        <v>21</v>
      </c>
      <c r="E39" s="83"/>
      <c r="F39" s="83"/>
      <c r="G39" s="83"/>
      <c r="H39" s="83"/>
      <c r="I39" s="81"/>
      <c r="J39" s="81"/>
      <c r="K39" s="81"/>
      <c r="L39" s="82"/>
      <c r="M39" s="82"/>
      <c r="N39" s="82"/>
      <c r="O39" s="82">
        <f t="shared" si="32"/>
        <v>0</v>
      </c>
      <c r="P39" s="132"/>
      <c r="Q39" s="133">
        <f t="shared" si="8"/>
        <v>0</v>
      </c>
    </row>
    <row r="40" spans="1:21" s="128" customFormat="1" x14ac:dyDescent="0.3">
      <c r="A40" s="401" t="s">
        <v>85</v>
      </c>
      <c r="B40" s="407" t="s">
        <v>91</v>
      </c>
      <c r="C40" s="407" t="str">
        <f>'пр 6 к МП'!C32</f>
        <v>Безопасность дорожного движения в Туруханском районе</v>
      </c>
      <c r="D40" s="147" t="s">
        <v>37</v>
      </c>
      <c r="E40" s="77">
        <f t="shared" ref="E40:H40" si="33">SUM(E42:E46)</f>
        <v>23.4</v>
      </c>
      <c r="F40" s="77">
        <f t="shared" si="33"/>
        <v>0</v>
      </c>
      <c r="G40" s="77">
        <f t="shared" si="33"/>
        <v>463.12</v>
      </c>
      <c r="H40" s="77">
        <f t="shared" si="33"/>
        <v>152.5</v>
      </c>
      <c r="I40" s="77">
        <f>SUM(I42:I46)</f>
        <v>80</v>
      </c>
      <c r="J40" s="77">
        <f t="shared" ref="J40:L40" si="34">SUM(J42:J46)</f>
        <v>220.5</v>
      </c>
      <c r="K40" s="77">
        <f t="shared" si="34"/>
        <v>1668</v>
      </c>
      <c r="L40" s="78">
        <f t="shared" si="34"/>
        <v>378.6</v>
      </c>
      <c r="M40" s="78">
        <f t="shared" ref="M40:N40" si="35">SUM(M42:M46)</f>
        <v>378.6</v>
      </c>
      <c r="N40" s="78">
        <f t="shared" si="35"/>
        <v>378.6</v>
      </c>
      <c r="O40" s="78">
        <f t="shared" si="32"/>
        <v>1135.8000000000002</v>
      </c>
      <c r="P40" s="135">
        <f>O40-'пр 6 к МП'!L32</f>
        <v>0</v>
      </c>
      <c r="Q40" s="127">
        <f t="shared" si="8"/>
        <v>3743.3199999999997</v>
      </c>
      <c r="R40" s="128" t="b">
        <f>SUM(Q42:Q46)=Q40</f>
        <v>1</v>
      </c>
    </row>
    <row r="41" spans="1:21" s="131" customFormat="1" x14ac:dyDescent="0.3">
      <c r="A41" s="401"/>
      <c r="B41" s="407"/>
      <c r="C41" s="407"/>
      <c r="D41" s="137" t="s">
        <v>20</v>
      </c>
      <c r="E41" s="83"/>
      <c r="F41" s="83"/>
      <c r="G41" s="83"/>
      <c r="H41" s="83"/>
      <c r="I41" s="81"/>
      <c r="J41" s="81"/>
      <c r="K41" s="81"/>
      <c r="L41" s="82"/>
      <c r="M41" s="82"/>
      <c r="N41" s="82"/>
      <c r="O41" s="82"/>
      <c r="P41" s="129"/>
      <c r="Q41" s="130">
        <f t="shared" si="8"/>
        <v>0</v>
      </c>
    </row>
    <row r="42" spans="1:21" s="131" customFormat="1" x14ac:dyDescent="0.3">
      <c r="A42" s="401"/>
      <c r="B42" s="407"/>
      <c r="C42" s="407"/>
      <c r="D42" s="7" t="s">
        <v>99</v>
      </c>
      <c r="E42" s="83"/>
      <c r="F42" s="83"/>
      <c r="G42" s="83"/>
      <c r="H42" s="83"/>
      <c r="I42" s="81"/>
      <c r="J42" s="81"/>
      <c r="K42" s="81"/>
      <c r="L42" s="82"/>
      <c r="M42" s="82"/>
      <c r="N42" s="82"/>
      <c r="O42" s="82">
        <f t="shared" ref="O42:O47" si="36">SUM(L42:N42)</f>
        <v>0</v>
      </c>
      <c r="P42" s="129"/>
      <c r="Q42" s="130">
        <f t="shared" si="8"/>
        <v>0</v>
      </c>
    </row>
    <row r="43" spans="1:21" s="131" customFormat="1" x14ac:dyDescent="0.3">
      <c r="A43" s="401"/>
      <c r="B43" s="407"/>
      <c r="C43" s="407"/>
      <c r="D43" s="137" t="s">
        <v>100</v>
      </c>
      <c r="E43" s="83">
        <v>23.4</v>
      </c>
      <c r="F43" s="83">
        <v>0</v>
      </c>
      <c r="G43" s="83">
        <v>142.636</v>
      </c>
      <c r="H43" s="83">
        <v>152</v>
      </c>
      <c r="I43" s="81">
        <v>80</v>
      </c>
      <c r="J43" s="81">
        <v>220.5</v>
      </c>
      <c r="K43" s="81">
        <v>1668</v>
      </c>
      <c r="L43" s="266">
        <f>'пр к ПП3'!H18+'пр к ПП3'!H22</f>
        <v>378.6</v>
      </c>
      <c r="M43" s="266">
        <f>'пр к ПП3'!I18+'пр к ПП3'!I22</f>
        <v>378.6</v>
      </c>
      <c r="N43" s="266">
        <f>'пр к ПП3'!J18+'пр к ПП3'!J22</f>
        <v>378.6</v>
      </c>
      <c r="O43" s="266">
        <f t="shared" si="36"/>
        <v>1135.8000000000002</v>
      </c>
      <c r="P43" s="129"/>
      <c r="Q43" s="130">
        <f t="shared" si="8"/>
        <v>3422.3359999999998</v>
      </c>
    </row>
    <row r="44" spans="1:21" s="131" customFormat="1" x14ac:dyDescent="0.3">
      <c r="A44" s="401"/>
      <c r="B44" s="407"/>
      <c r="C44" s="407"/>
      <c r="D44" s="137" t="s">
        <v>40</v>
      </c>
      <c r="E44" s="83">
        <v>0</v>
      </c>
      <c r="F44" s="83">
        <v>0</v>
      </c>
      <c r="G44" s="83">
        <v>320.48399999999998</v>
      </c>
      <c r="H44" s="83">
        <v>0.5</v>
      </c>
      <c r="I44" s="81">
        <v>0</v>
      </c>
      <c r="J44" s="81">
        <f>'пр к ПП3'!G16</f>
        <v>0</v>
      </c>
      <c r="K44" s="81">
        <v>0</v>
      </c>
      <c r="L44" s="82">
        <f>'пр к ПП3'!H16</f>
        <v>0</v>
      </c>
      <c r="M44" s="82">
        <f>'пр к ПП3'!I16</f>
        <v>0</v>
      </c>
      <c r="N44" s="82">
        <f>'пр к ПП3'!J16</f>
        <v>0</v>
      </c>
      <c r="O44" s="82">
        <f t="shared" si="36"/>
        <v>0</v>
      </c>
      <c r="P44" s="129"/>
      <c r="Q44" s="130">
        <f t="shared" si="8"/>
        <v>320.98399999999998</v>
      </c>
    </row>
    <row r="45" spans="1:21" s="131" customFormat="1" ht="48" x14ac:dyDescent="0.3">
      <c r="A45" s="401"/>
      <c r="B45" s="407"/>
      <c r="C45" s="407"/>
      <c r="D45" s="8" t="s">
        <v>101</v>
      </c>
      <c r="E45" s="84"/>
      <c r="F45" s="84"/>
      <c r="G45" s="84"/>
      <c r="H45" s="84"/>
      <c r="I45" s="81"/>
      <c r="J45" s="81"/>
      <c r="K45" s="81"/>
      <c r="L45" s="82"/>
      <c r="M45" s="82"/>
      <c r="N45" s="82"/>
      <c r="O45" s="82">
        <f t="shared" si="36"/>
        <v>0</v>
      </c>
      <c r="P45" s="129"/>
      <c r="Q45" s="130">
        <f t="shared" si="8"/>
        <v>0</v>
      </c>
    </row>
    <row r="46" spans="1:21" s="134" customFormat="1" ht="19.5" thickBot="1" x14ac:dyDescent="0.35">
      <c r="A46" s="401"/>
      <c r="B46" s="407"/>
      <c r="C46" s="407"/>
      <c r="D46" s="137" t="s">
        <v>21</v>
      </c>
      <c r="E46" s="83"/>
      <c r="F46" s="83"/>
      <c r="G46" s="83"/>
      <c r="H46" s="83"/>
      <c r="I46" s="81"/>
      <c r="J46" s="81"/>
      <c r="K46" s="81"/>
      <c r="L46" s="82"/>
      <c r="M46" s="82"/>
      <c r="N46" s="82"/>
      <c r="O46" s="82">
        <f t="shared" si="36"/>
        <v>0</v>
      </c>
      <c r="P46" s="132"/>
      <c r="Q46" s="133">
        <f t="shared" si="8"/>
        <v>0</v>
      </c>
    </row>
    <row r="47" spans="1:21" s="128" customFormat="1" x14ac:dyDescent="0.3">
      <c r="A47" s="401" t="s">
        <v>86</v>
      </c>
      <c r="B47" s="407" t="s">
        <v>92</v>
      </c>
      <c r="C47" s="407" t="str">
        <f>'пр 6 к МП'!C36</f>
        <v>Развитие связи на территории Туруханского района</v>
      </c>
      <c r="D47" s="281" t="s">
        <v>37</v>
      </c>
      <c r="E47" s="77">
        <f t="shared" ref="E47:H47" si="37">SUM(E49:E53)</f>
        <v>7523.8671199999999</v>
      </c>
      <c r="F47" s="77">
        <f t="shared" si="37"/>
        <v>11940</v>
      </c>
      <c r="G47" s="77">
        <f t="shared" si="37"/>
        <v>9390.4</v>
      </c>
      <c r="H47" s="77">
        <f t="shared" si="37"/>
        <v>12264.716</v>
      </c>
      <c r="I47" s="77">
        <f>SUM(I49:I53)</f>
        <v>13067.336670000001</v>
      </c>
      <c r="J47" s="77">
        <f t="shared" ref="J47:L47" si="38">SUM(J49:J53)</f>
        <v>12667.773999999999</v>
      </c>
      <c r="K47" s="77">
        <f t="shared" si="38"/>
        <v>12516.454</v>
      </c>
      <c r="L47" s="78">
        <f t="shared" si="38"/>
        <v>10600</v>
      </c>
      <c r="M47" s="78">
        <f t="shared" ref="M47:N47" si="39">SUM(M49:M53)</f>
        <v>10600</v>
      </c>
      <c r="N47" s="78">
        <f t="shared" si="39"/>
        <v>10600</v>
      </c>
      <c r="O47" s="78">
        <f t="shared" si="36"/>
        <v>31800</v>
      </c>
      <c r="P47" s="126">
        <f>O47-'пр 6 к МП'!L36</f>
        <v>0</v>
      </c>
      <c r="Q47" s="127">
        <f t="shared" si="8"/>
        <v>111170.54779</v>
      </c>
      <c r="R47" s="128" t="b">
        <f>SUM(Q49:Q53)=Q47</f>
        <v>1</v>
      </c>
    </row>
    <row r="48" spans="1:21" s="131" customFormat="1" x14ac:dyDescent="0.3">
      <c r="A48" s="401"/>
      <c r="B48" s="407"/>
      <c r="C48" s="407"/>
      <c r="D48" s="278" t="s">
        <v>20</v>
      </c>
      <c r="E48" s="83"/>
      <c r="F48" s="83"/>
      <c r="G48" s="83"/>
      <c r="H48" s="83"/>
      <c r="I48" s="81"/>
      <c r="J48" s="81"/>
      <c r="K48" s="81"/>
      <c r="L48" s="82"/>
      <c r="M48" s="82"/>
      <c r="N48" s="82"/>
      <c r="O48" s="82"/>
      <c r="P48" s="129"/>
      <c r="Q48" s="130">
        <f t="shared" si="8"/>
        <v>0</v>
      </c>
    </row>
    <row r="49" spans="1:25" s="131" customFormat="1" x14ac:dyDescent="0.3">
      <c r="A49" s="401"/>
      <c r="B49" s="407"/>
      <c r="C49" s="407"/>
      <c r="D49" s="7" t="s">
        <v>99</v>
      </c>
      <c r="E49" s="83"/>
      <c r="F49" s="83"/>
      <c r="G49" s="83"/>
      <c r="H49" s="83"/>
      <c r="I49" s="81"/>
      <c r="J49" s="81"/>
      <c r="K49" s="81"/>
      <c r="L49" s="82"/>
      <c r="M49" s="82"/>
      <c r="N49" s="82"/>
      <c r="O49" s="82">
        <f t="shared" ref="O49:O53" si="40">SUM(L49:N49)</f>
        <v>0</v>
      </c>
      <c r="P49" s="129"/>
      <c r="Q49" s="130">
        <f t="shared" si="8"/>
        <v>0</v>
      </c>
    </row>
    <row r="50" spans="1:25" s="131" customFormat="1" x14ac:dyDescent="0.3">
      <c r="A50" s="401"/>
      <c r="B50" s="407"/>
      <c r="C50" s="407"/>
      <c r="D50" s="278" t="s">
        <v>100</v>
      </c>
      <c r="E50" s="83"/>
      <c r="F50" s="83"/>
      <c r="G50" s="83"/>
      <c r="H50" s="83">
        <v>2260</v>
      </c>
      <c r="I50" s="81">
        <v>3062.2</v>
      </c>
      <c r="J50" s="81">
        <f>2654.435</f>
        <v>2654.4349999999999</v>
      </c>
      <c r="K50" s="81">
        <v>2516.4540000000002</v>
      </c>
      <c r="L50" s="82">
        <f>'пр к ПП4'!H17</f>
        <v>0</v>
      </c>
      <c r="M50" s="82">
        <f>'пр к ПП4'!I17</f>
        <v>0</v>
      </c>
      <c r="N50" s="82">
        <f>'пр к ПП4'!J17</f>
        <v>0</v>
      </c>
      <c r="O50" s="82">
        <f t="shared" si="40"/>
        <v>0</v>
      </c>
      <c r="P50" s="129"/>
      <c r="Q50" s="130">
        <f t="shared" si="8"/>
        <v>10493.089</v>
      </c>
      <c r="T50" s="131">
        <v>2667.7739999999999</v>
      </c>
      <c r="U50" s="129">
        <f>T50-J50</f>
        <v>13.338999999999942</v>
      </c>
    </row>
    <row r="51" spans="1:25" s="131" customFormat="1" x14ac:dyDescent="0.3">
      <c r="A51" s="401"/>
      <c r="B51" s="407"/>
      <c r="C51" s="407"/>
      <c r="D51" s="278" t="s">
        <v>40</v>
      </c>
      <c r="E51" s="83">
        <v>7523.8671199999999</v>
      </c>
      <c r="F51" s="83">
        <v>11940</v>
      </c>
      <c r="G51" s="83">
        <v>9390.4</v>
      </c>
      <c r="H51" s="83">
        <v>10004.716</v>
      </c>
      <c r="I51" s="81">
        <v>10005.13667</v>
      </c>
      <c r="J51" s="81">
        <f>13.339+10000</f>
        <v>10013.339</v>
      </c>
      <c r="K51" s="81">
        <v>10000</v>
      </c>
      <c r="L51" s="82">
        <f>'пр к ПП4'!H15+'пр к ПП4'!H18</f>
        <v>10600</v>
      </c>
      <c r="M51" s="82">
        <f>'пр к ПП4'!I15+'пр к ПП4'!I18</f>
        <v>10600</v>
      </c>
      <c r="N51" s="82">
        <f>'пр к ПП4'!J15+'пр к ПП4'!J18</f>
        <v>10600</v>
      </c>
      <c r="O51" s="82">
        <f t="shared" si="40"/>
        <v>31800</v>
      </c>
      <c r="P51" s="129"/>
      <c r="Q51" s="130">
        <f t="shared" si="8"/>
        <v>100677.45879</v>
      </c>
      <c r="T51" s="131">
        <v>10000</v>
      </c>
      <c r="U51" s="129">
        <f>T51-J51</f>
        <v>-13.338999999999942</v>
      </c>
      <c r="X51" s="131">
        <f>12667.7738</f>
        <v>12667.773800000001</v>
      </c>
      <c r="Y51" s="129">
        <f>X51-J47</f>
        <v>-1.9999999858555384E-4</v>
      </c>
    </row>
    <row r="52" spans="1:25" s="131" customFormat="1" ht="48" x14ac:dyDescent="0.3">
      <c r="A52" s="401"/>
      <c r="B52" s="407"/>
      <c r="C52" s="407"/>
      <c r="D52" s="8" t="s">
        <v>101</v>
      </c>
      <c r="E52" s="84"/>
      <c r="F52" s="84"/>
      <c r="G52" s="84"/>
      <c r="H52" s="84"/>
      <c r="I52" s="81"/>
      <c r="J52" s="81"/>
      <c r="K52" s="81"/>
      <c r="L52" s="82"/>
      <c r="M52" s="82"/>
      <c r="N52" s="82"/>
      <c r="O52" s="82">
        <f t="shared" si="40"/>
        <v>0</v>
      </c>
      <c r="P52" s="129"/>
      <c r="Q52" s="130">
        <f t="shared" si="8"/>
        <v>0</v>
      </c>
    </row>
    <row r="53" spans="1:25" s="134" customFormat="1" ht="19.5" thickBot="1" x14ac:dyDescent="0.35">
      <c r="A53" s="401"/>
      <c r="B53" s="407"/>
      <c r="C53" s="407"/>
      <c r="D53" s="278" t="s">
        <v>21</v>
      </c>
      <c r="E53" s="83"/>
      <c r="F53" s="83"/>
      <c r="G53" s="83"/>
      <c r="H53" s="83"/>
      <c r="I53" s="81"/>
      <c r="J53" s="81"/>
      <c r="K53" s="81"/>
      <c r="L53" s="82"/>
      <c r="M53" s="82"/>
      <c r="N53" s="82"/>
      <c r="O53" s="82">
        <f t="shared" si="40"/>
        <v>0</v>
      </c>
      <c r="P53" s="132"/>
      <c r="Q53" s="133">
        <f t="shared" si="8"/>
        <v>0</v>
      </c>
    </row>
    <row r="61" spans="1:25" s="1" customFormat="1" ht="15.75" outlineLevel="1" x14ac:dyDescent="0.25">
      <c r="A61" s="4"/>
      <c r="B61" s="1" t="s">
        <v>228</v>
      </c>
      <c r="E61" s="4"/>
      <c r="I61" s="37"/>
      <c r="J61" s="37"/>
      <c r="K61" s="37"/>
    </row>
    <row r="62" spans="1:25" s="1" customFormat="1" ht="15.75" outlineLevel="1" x14ac:dyDescent="0.25">
      <c r="A62" s="4"/>
      <c r="B62" s="1" t="s">
        <v>229</v>
      </c>
      <c r="E62" s="4"/>
      <c r="I62" s="37"/>
      <c r="J62" s="37"/>
      <c r="K62" s="37"/>
      <c r="L62" s="1" t="b">
        <f>L26='пр к ПП1'!H33</f>
        <v>1</v>
      </c>
      <c r="M62" s="1" t="b">
        <f>M26='пр к ПП1'!I33</f>
        <v>1</v>
      </c>
      <c r="N62" s="1" t="b">
        <f>N26='пр к ПП1'!J33</f>
        <v>1</v>
      </c>
      <c r="O62" s="1" t="b">
        <f>O26='пр к ПП1'!K33</f>
        <v>1</v>
      </c>
      <c r="P62" s="1" t="b">
        <f>P35='пр к ПП1'!K45</f>
        <v>1</v>
      </c>
    </row>
    <row r="63" spans="1:25" s="1" customFormat="1" ht="15.75" outlineLevel="1" x14ac:dyDescent="0.25">
      <c r="A63" s="4"/>
      <c r="B63" s="1" t="s">
        <v>230</v>
      </c>
      <c r="E63" s="4"/>
      <c r="I63" s="37"/>
      <c r="J63" s="37"/>
      <c r="K63" s="37"/>
      <c r="L63" s="1" t="b">
        <f>L33='пр к ПП2'!H35</f>
        <v>1</v>
      </c>
      <c r="M63" s="1" t="b">
        <f>M33='пр к ПП2'!I35</f>
        <v>1</v>
      </c>
      <c r="N63" s="1" t="b">
        <f>N33='пр к ПП2'!J35</f>
        <v>1</v>
      </c>
      <c r="O63" s="1" t="b">
        <f>O33='пр к ПП2'!K35</f>
        <v>1</v>
      </c>
      <c r="P63" s="1" t="b">
        <f>P39='пр к ПП2'!K47</f>
        <v>1</v>
      </c>
    </row>
    <row r="64" spans="1:25" s="1" customFormat="1" ht="15.75" outlineLevel="1" x14ac:dyDescent="0.25">
      <c r="A64" s="4"/>
      <c r="B64" s="1" t="s">
        <v>231</v>
      </c>
      <c r="E64" s="4"/>
      <c r="I64" s="37"/>
      <c r="J64" s="37"/>
      <c r="K64" s="37"/>
      <c r="L64" s="1" t="b">
        <f>L40='пр к ПП3'!H24</f>
        <v>1</v>
      </c>
      <c r="M64" s="1" t="b">
        <f>M40='пр к ПП3'!I24</f>
        <v>1</v>
      </c>
      <c r="N64" s="1" t="b">
        <f>N40='пр к ПП3'!J24</f>
        <v>1</v>
      </c>
      <c r="O64" s="1" t="b">
        <f>O40='пр к ПП3'!K24</f>
        <v>1</v>
      </c>
      <c r="P64" s="1" t="b">
        <f>P43='пр к ПП3'!K36</f>
        <v>1</v>
      </c>
    </row>
    <row r="65" spans="1:16" s="1" customFormat="1" ht="15.75" outlineLevel="1" x14ac:dyDescent="0.25">
      <c r="A65" s="4"/>
      <c r="B65" s="1" t="s">
        <v>232</v>
      </c>
      <c r="E65" s="4"/>
      <c r="I65" s="37"/>
      <c r="J65" s="37"/>
      <c r="K65" s="37"/>
      <c r="L65" s="1" t="b">
        <f>L47='пр к ПП4'!H20</f>
        <v>1</v>
      </c>
      <c r="M65" s="1" t="b">
        <f>M47='пр к ПП4'!I20</f>
        <v>1</v>
      </c>
      <c r="N65" s="1" t="b">
        <f>N47='пр к ПП4'!J20</f>
        <v>1</v>
      </c>
      <c r="O65" s="1" t="b">
        <f>O47='пр к ПП4'!K20</f>
        <v>1</v>
      </c>
      <c r="P65" s="1" t="b">
        <f>P47='пр к ПП4'!L20</f>
        <v>0</v>
      </c>
    </row>
    <row r="66" spans="1:16" s="1" customFormat="1" ht="15.75" outlineLevel="1" x14ac:dyDescent="0.25">
      <c r="A66" s="4"/>
      <c r="E66" s="4"/>
      <c r="I66" s="37"/>
      <c r="J66" s="37"/>
      <c r="K66" s="37"/>
    </row>
    <row r="67" spans="1:16" s="1" customFormat="1" ht="15.75" outlineLevel="1" x14ac:dyDescent="0.25">
      <c r="A67" s="4"/>
      <c r="E67" s="4"/>
      <c r="I67" s="37"/>
      <c r="J67" s="37"/>
      <c r="K67" s="37"/>
    </row>
    <row r="68" spans="1:16" s="1" customFormat="1" ht="15.75" outlineLevel="1" x14ac:dyDescent="0.25">
      <c r="A68" s="4"/>
      <c r="B68" s="1" t="s">
        <v>229</v>
      </c>
      <c r="E68" s="4"/>
      <c r="I68" s="200">
        <f>I26-'пр к ПП1'!H33</f>
        <v>-17409.996839999985</v>
      </c>
      <c r="J68" s="200"/>
      <c r="K68" s="200"/>
      <c r="L68" s="122">
        <f>L26-'пр к ПП1'!H33</f>
        <v>0</v>
      </c>
      <c r="M68" s="122">
        <f>M26-'пр к ПП1'!I33</f>
        <v>0</v>
      </c>
      <c r="N68" s="122">
        <f>N26-'пр к ПП1'!J33</f>
        <v>0</v>
      </c>
      <c r="O68" s="122">
        <f>O26-'пр к ПП1'!K33</f>
        <v>0</v>
      </c>
      <c r="P68" s="122">
        <f>P35-'пр к ПП1'!K45</f>
        <v>0</v>
      </c>
    </row>
    <row r="69" spans="1:16" s="1" customFormat="1" ht="15.75" outlineLevel="1" x14ac:dyDescent="0.25">
      <c r="A69" s="4"/>
      <c r="B69" s="1" t="s">
        <v>230</v>
      </c>
      <c r="E69" s="4"/>
      <c r="I69" s="200">
        <f>I33-'пр к ПП2'!H35</f>
        <v>-39958.327290000016</v>
      </c>
      <c r="J69" s="200"/>
      <c r="K69" s="200"/>
      <c r="L69" s="122">
        <f>L33-'пр к ПП2'!H35</f>
        <v>0</v>
      </c>
      <c r="M69" s="122">
        <f>M33-'пр к ПП2'!I35</f>
        <v>0</v>
      </c>
      <c r="N69" s="122">
        <f>N33-'пр к ПП2'!J35</f>
        <v>0</v>
      </c>
      <c r="O69" s="122">
        <f>O33-'пр к ПП2'!K35</f>
        <v>0</v>
      </c>
      <c r="P69" s="122">
        <f>P39-'пр к ПП2'!K47</f>
        <v>0</v>
      </c>
    </row>
    <row r="70" spans="1:16" s="1" customFormat="1" ht="15.75" outlineLevel="1" x14ac:dyDescent="0.25">
      <c r="A70" s="4"/>
      <c r="B70" s="1" t="s">
        <v>231</v>
      </c>
      <c r="E70" s="4"/>
      <c r="I70" s="200">
        <f>I40-'пр к ПП3'!H24</f>
        <v>-298.60000000000002</v>
      </c>
      <c r="J70" s="200"/>
      <c r="K70" s="200"/>
      <c r="L70" s="122">
        <f>L40-'пр к ПП3'!H24</f>
        <v>0</v>
      </c>
      <c r="M70" s="122">
        <f>M40-'пр к ПП3'!I24</f>
        <v>0</v>
      </c>
      <c r="N70" s="122">
        <f>N40-'пр к ПП3'!J24</f>
        <v>0</v>
      </c>
      <c r="O70" s="122">
        <f>O40-'пр к ПП3'!K24</f>
        <v>0</v>
      </c>
      <c r="P70" s="122">
        <f>P43-'пр к ПП3'!K36</f>
        <v>0</v>
      </c>
    </row>
    <row r="71" spans="1:16" s="1" customFormat="1" ht="15.75" outlineLevel="1" x14ac:dyDescent="0.25">
      <c r="A71" s="4"/>
      <c r="B71" s="1" t="s">
        <v>232</v>
      </c>
      <c r="E71" s="4"/>
      <c r="I71" s="200">
        <f>I47-'пр к ПП4'!H20</f>
        <v>2467.3366700000006</v>
      </c>
      <c r="J71" s="200"/>
      <c r="K71" s="200"/>
      <c r="L71" s="122">
        <f>L47-'пр к ПП4'!H20</f>
        <v>0</v>
      </c>
      <c r="M71" s="122">
        <f>M47-'пр к ПП4'!I20</f>
        <v>0</v>
      </c>
      <c r="N71" s="122">
        <f>N47-'пр к ПП4'!J20</f>
        <v>0</v>
      </c>
      <c r="O71" s="122">
        <f>O47-'пр к ПП4'!K20</f>
        <v>0</v>
      </c>
      <c r="P71" s="122">
        <f>P47-'пр к ПП4'!K32</f>
        <v>0</v>
      </c>
    </row>
    <row r="72" spans="1:16" outlineLevel="1" x14ac:dyDescent="0.3"/>
    <row r="73" spans="1:16" outlineLevel="1" x14ac:dyDescent="0.3"/>
  </sheetData>
  <mergeCells count="28">
    <mergeCell ref="L1:O1"/>
    <mergeCell ref="A12:O12"/>
    <mergeCell ref="L5:O5"/>
    <mergeCell ref="A8:O8"/>
    <mergeCell ref="A9:O9"/>
    <mergeCell ref="A10:O10"/>
    <mergeCell ref="A11:O11"/>
    <mergeCell ref="A16:A17"/>
    <mergeCell ref="B16:B17"/>
    <mergeCell ref="C16:C17"/>
    <mergeCell ref="D16:D17"/>
    <mergeCell ref="A13:O13"/>
    <mergeCell ref="A40:A46"/>
    <mergeCell ref="B40:B46"/>
    <mergeCell ref="C40:C46"/>
    <mergeCell ref="A47:A53"/>
    <mergeCell ref="O16:O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</mergeCells>
  <pageMargins left="0.78740157480314965" right="0.78740157480314965" top="1.1811023622047245" bottom="0.2" header="0.31496062992125984" footer="0.31496062992125984"/>
  <pageSetup paperSize="9" scale="41" fitToHeight="0" orientation="landscape" r:id="rId1"/>
  <rowBreaks count="2" manualBreakCount="2">
    <brk id="30" max="17" man="1"/>
    <brk id="53" max="17" man="1"/>
  </rowBreaks>
  <colBreaks count="2" manualBreakCount="2">
    <brk id="11" max="1048575" man="1"/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I19" sqref="I19"/>
    </sheetView>
  </sheetViews>
  <sheetFormatPr defaultRowHeight="15.75" x14ac:dyDescent="0.25"/>
  <cols>
    <col min="2" max="2" width="5" style="63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13"/>
      <c r="B1" s="408" t="s">
        <v>19</v>
      </c>
      <c r="C1" s="408" t="s">
        <v>174</v>
      </c>
      <c r="D1" s="408" t="s">
        <v>175</v>
      </c>
      <c r="E1" s="408" t="s">
        <v>176</v>
      </c>
      <c r="F1" s="408" t="s">
        <v>177</v>
      </c>
      <c r="G1" s="408"/>
      <c r="H1" s="408"/>
      <c r="I1" s="408"/>
      <c r="J1" s="408"/>
      <c r="K1" s="409"/>
      <c r="M1" s="408" t="s">
        <v>177</v>
      </c>
      <c r="N1" s="408"/>
      <c r="O1" s="408"/>
      <c r="P1" s="408"/>
    </row>
    <row r="2" spans="1:16" x14ac:dyDescent="0.25">
      <c r="A2" s="413"/>
      <c r="B2" s="408"/>
      <c r="C2" s="408"/>
      <c r="D2" s="408"/>
      <c r="E2" s="408"/>
      <c r="F2" s="408" t="s">
        <v>178</v>
      </c>
      <c r="G2" s="408"/>
      <c r="H2" s="408"/>
      <c r="I2" s="408"/>
      <c r="J2" s="408" t="s">
        <v>179</v>
      </c>
      <c r="K2" s="409"/>
      <c r="M2" s="408" t="s">
        <v>178</v>
      </c>
      <c r="N2" s="408"/>
      <c r="O2" s="408"/>
      <c r="P2" s="408"/>
    </row>
    <row r="3" spans="1:16" x14ac:dyDescent="0.25">
      <c r="A3" s="413"/>
      <c r="B3" s="408"/>
      <c r="C3" s="408"/>
      <c r="D3" s="408"/>
      <c r="E3" s="408"/>
      <c r="F3" s="408" t="s">
        <v>180</v>
      </c>
      <c r="G3" s="408"/>
      <c r="H3" s="408"/>
      <c r="I3" s="408" t="s">
        <v>181</v>
      </c>
      <c r="J3" s="408"/>
      <c r="K3" s="409"/>
      <c r="M3" s="408" t="s">
        <v>180</v>
      </c>
      <c r="N3" s="408"/>
      <c r="O3" s="408"/>
      <c r="P3" s="408" t="s">
        <v>181</v>
      </c>
    </row>
    <row r="4" spans="1:16" x14ac:dyDescent="0.25">
      <c r="A4" s="413"/>
      <c r="B4" s="408"/>
      <c r="C4" s="408"/>
      <c r="D4" s="408"/>
      <c r="E4" s="408"/>
      <c r="F4" s="211" t="str">
        <f>LEFT('пр 6 к МП'!I14,4)</f>
        <v>2021</v>
      </c>
      <c r="G4" s="211" t="str">
        <f>LEFT('пр 6 к МП'!J14,4)</f>
        <v>2022</v>
      </c>
      <c r="H4" s="211" t="str">
        <f>LEFT('пр 6 к МП'!K14,4)</f>
        <v>2023</v>
      </c>
      <c r="I4" s="408"/>
      <c r="J4" s="408"/>
      <c r="K4" s="409"/>
      <c r="M4" s="218" t="str">
        <f>F4</f>
        <v>2021</v>
      </c>
      <c r="N4" s="218" t="str">
        <f t="shared" ref="N4:O4" si="0">G4</f>
        <v>2022</v>
      </c>
      <c r="O4" s="218" t="str">
        <f t="shared" si="0"/>
        <v>2023</v>
      </c>
      <c r="P4" s="408"/>
    </row>
    <row r="5" spans="1:16" ht="15.75" customHeight="1" x14ac:dyDescent="0.25">
      <c r="A5" s="413"/>
      <c r="B5" s="414">
        <v>1</v>
      </c>
      <c r="C5" s="415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61" t="s">
        <v>190</v>
      </c>
      <c r="E5" s="408" t="s">
        <v>183</v>
      </c>
      <c r="F5" s="64">
        <f>SUM(F6:F12)</f>
        <v>26.370200000000004</v>
      </c>
      <c r="G5" s="64">
        <f t="shared" ref="G5:H5" si="1">SUM(G6:G12)</f>
        <v>27.398600000000002</v>
      </c>
      <c r="H5" s="64">
        <f t="shared" si="1"/>
        <v>28.467099999999999</v>
      </c>
      <c r="I5" s="64">
        <f t="shared" ref="I5:I20" si="2">SUM(F5:H5)</f>
        <v>82.235900000000001</v>
      </c>
      <c r="J5" s="408" t="s">
        <v>191</v>
      </c>
      <c r="K5" s="409"/>
      <c r="M5" s="160">
        <f>SUM(M6:M12)</f>
        <v>26370.2</v>
      </c>
      <c r="N5" s="160">
        <f t="shared" ref="N5:O5" si="3">SUM(N6:N12)</f>
        <v>27398.6</v>
      </c>
      <c r="O5" s="160">
        <f t="shared" si="3"/>
        <v>28467.1</v>
      </c>
      <c r="P5" s="159">
        <f t="shared" ref="P5" si="4">SUM(M5:O5)</f>
        <v>82235.899999999994</v>
      </c>
    </row>
    <row r="6" spans="1:16" ht="25.5" x14ac:dyDescent="0.25">
      <c r="A6" s="413"/>
      <c r="B6" s="414"/>
      <c r="C6" s="415"/>
      <c r="D6" s="55" t="s">
        <v>188</v>
      </c>
      <c r="E6" s="408"/>
      <c r="F6" s="73">
        <f>M6/1000</f>
        <v>3.9563999999999999</v>
      </c>
      <c r="G6" s="73">
        <f t="shared" ref="G6:H12" si="5">N6/1000</f>
        <v>4.1100000000000003</v>
      </c>
      <c r="H6" s="73">
        <f t="shared" si="5"/>
        <v>4.2709999999999999</v>
      </c>
      <c r="I6" s="64">
        <f t="shared" si="2"/>
        <v>12.337399999999999</v>
      </c>
      <c r="J6" s="408"/>
      <c r="K6" s="409"/>
      <c r="M6" s="141">
        <f>F35</f>
        <v>3956.4</v>
      </c>
      <c r="N6" s="141">
        <f t="shared" ref="N6:O12" si="6">G35</f>
        <v>4110</v>
      </c>
      <c r="O6" s="141">
        <f t="shared" si="6"/>
        <v>4271</v>
      </c>
      <c r="P6" s="159"/>
    </row>
    <row r="7" spans="1:16" ht="25.5" x14ac:dyDescent="0.25">
      <c r="A7" s="413"/>
      <c r="B7" s="414"/>
      <c r="C7" s="415"/>
      <c r="D7" s="55" t="s">
        <v>197</v>
      </c>
      <c r="E7" s="408"/>
      <c r="F7" s="73">
        <f t="shared" ref="F7:F12" si="7">M7/1000</f>
        <v>0.87920000000000009</v>
      </c>
      <c r="G7" s="73">
        <f t="shared" si="5"/>
        <v>0.91400000000000003</v>
      </c>
      <c r="H7" s="73">
        <f t="shared" si="5"/>
        <v>0.95</v>
      </c>
      <c r="I7" s="64">
        <f t="shared" si="2"/>
        <v>2.7431999999999999</v>
      </c>
      <c r="J7" s="408"/>
      <c r="K7" s="409"/>
      <c r="M7" s="141">
        <f t="shared" ref="M7:M12" si="8">F36</f>
        <v>879.2</v>
      </c>
      <c r="N7" s="141">
        <f t="shared" si="6"/>
        <v>914</v>
      </c>
      <c r="O7" s="141">
        <f t="shared" si="6"/>
        <v>950</v>
      </c>
      <c r="P7" s="159">
        <f t="shared" ref="P7:P20" si="9">SUM(M7:O7)</f>
        <v>2743.2</v>
      </c>
    </row>
    <row r="8" spans="1:16" ht="25.5" x14ac:dyDescent="0.25">
      <c r="A8" s="413"/>
      <c r="B8" s="414"/>
      <c r="C8" s="415"/>
      <c r="D8" s="55" t="s">
        <v>189</v>
      </c>
      <c r="E8" s="408"/>
      <c r="F8" s="73">
        <f t="shared" si="7"/>
        <v>2.8134000000000001</v>
      </c>
      <c r="G8" s="73">
        <f t="shared" si="5"/>
        <v>2.9220000000000002</v>
      </c>
      <c r="H8" s="73">
        <f t="shared" si="5"/>
        <v>3.036</v>
      </c>
      <c r="I8" s="64">
        <f t="shared" si="2"/>
        <v>8.7713999999999999</v>
      </c>
      <c r="J8" s="408"/>
      <c r="K8" s="409"/>
      <c r="M8" s="141">
        <f t="shared" si="8"/>
        <v>2813.4</v>
      </c>
      <c r="N8" s="141">
        <f t="shared" si="6"/>
        <v>2922</v>
      </c>
      <c r="O8" s="141">
        <f t="shared" si="6"/>
        <v>3036</v>
      </c>
      <c r="P8" s="159">
        <f t="shared" si="9"/>
        <v>8771.4</v>
      </c>
    </row>
    <row r="9" spans="1:16" ht="25.5" x14ac:dyDescent="0.25">
      <c r="A9" s="413"/>
      <c r="B9" s="414"/>
      <c r="C9" s="415"/>
      <c r="D9" s="55" t="s">
        <v>198</v>
      </c>
      <c r="E9" s="408"/>
      <c r="F9" s="73">
        <f t="shared" si="7"/>
        <v>0.87920000000000009</v>
      </c>
      <c r="G9" s="73">
        <f t="shared" si="5"/>
        <v>0.91400000000000003</v>
      </c>
      <c r="H9" s="73">
        <f t="shared" si="5"/>
        <v>0.95</v>
      </c>
      <c r="I9" s="64">
        <f t="shared" si="2"/>
        <v>2.7431999999999999</v>
      </c>
      <c r="J9" s="408"/>
      <c r="K9" s="409"/>
      <c r="M9" s="141">
        <f t="shared" si="8"/>
        <v>879.2</v>
      </c>
      <c r="N9" s="141">
        <f t="shared" si="6"/>
        <v>914</v>
      </c>
      <c r="O9" s="141">
        <f t="shared" si="6"/>
        <v>950</v>
      </c>
      <c r="P9" s="159">
        <f t="shared" si="9"/>
        <v>2743.2</v>
      </c>
    </row>
    <row r="10" spans="1:16" ht="25.5" customHeight="1" x14ac:dyDescent="0.25">
      <c r="A10" s="413"/>
      <c r="B10" s="414"/>
      <c r="C10" s="415"/>
      <c r="D10" s="167" t="s">
        <v>187</v>
      </c>
      <c r="E10" s="408"/>
      <c r="F10" s="73">
        <f t="shared" si="7"/>
        <v>8.0007999999999999</v>
      </c>
      <c r="G10" s="73">
        <f t="shared" si="5"/>
        <v>8.3125999999999998</v>
      </c>
      <c r="H10" s="73">
        <f t="shared" si="5"/>
        <v>8.6370000000000005</v>
      </c>
      <c r="I10" s="64">
        <f t="shared" si="2"/>
        <v>24.950400000000002</v>
      </c>
      <c r="J10" s="408"/>
      <c r="K10" s="409"/>
      <c r="M10" s="141">
        <f t="shared" si="8"/>
        <v>8000.8</v>
      </c>
      <c r="N10" s="141">
        <f t="shared" si="6"/>
        <v>8312.6</v>
      </c>
      <c r="O10" s="141">
        <f t="shared" si="6"/>
        <v>8637</v>
      </c>
      <c r="P10" s="159">
        <f t="shared" si="9"/>
        <v>24950.400000000001</v>
      </c>
    </row>
    <row r="11" spans="1:16" ht="25.5" x14ac:dyDescent="0.25">
      <c r="A11" s="413"/>
      <c r="B11" s="414"/>
      <c r="C11" s="415"/>
      <c r="D11" s="55" t="s">
        <v>186</v>
      </c>
      <c r="E11" s="408"/>
      <c r="F11" s="73">
        <f t="shared" si="7"/>
        <v>1.1434000000000002</v>
      </c>
      <c r="G11" s="73">
        <f t="shared" si="5"/>
        <v>1.19</v>
      </c>
      <c r="H11" s="73">
        <f t="shared" si="5"/>
        <v>1.2350000000000001</v>
      </c>
      <c r="I11" s="64">
        <f t="shared" si="2"/>
        <v>3.5684000000000005</v>
      </c>
      <c r="J11" s="408"/>
      <c r="K11" s="409"/>
      <c r="M11" s="141">
        <f t="shared" si="8"/>
        <v>1143.4000000000001</v>
      </c>
      <c r="N11" s="141">
        <f t="shared" si="6"/>
        <v>1190</v>
      </c>
      <c r="O11" s="141">
        <f t="shared" si="6"/>
        <v>1235</v>
      </c>
      <c r="P11" s="159">
        <f t="shared" si="9"/>
        <v>3568.4</v>
      </c>
    </row>
    <row r="12" spans="1:16" x14ac:dyDescent="0.25">
      <c r="A12" s="413"/>
      <c r="B12" s="414"/>
      <c r="C12" s="415"/>
      <c r="D12" s="55" t="s">
        <v>196</v>
      </c>
      <c r="E12" s="408"/>
      <c r="F12" s="73">
        <f t="shared" si="7"/>
        <v>8.6977999999999991</v>
      </c>
      <c r="G12" s="73">
        <f t="shared" si="5"/>
        <v>9.0359999999999996</v>
      </c>
      <c r="H12" s="73">
        <f t="shared" si="5"/>
        <v>9.3880999999999979</v>
      </c>
      <c r="I12" s="64">
        <f t="shared" si="2"/>
        <v>27.121899999999997</v>
      </c>
      <c r="J12" s="408"/>
      <c r="K12" s="409"/>
      <c r="M12" s="141">
        <f t="shared" si="8"/>
        <v>8697.7999999999993</v>
      </c>
      <c r="N12" s="141">
        <f t="shared" si="6"/>
        <v>9036</v>
      </c>
      <c r="O12" s="141">
        <f t="shared" si="6"/>
        <v>9388.0999999999985</v>
      </c>
      <c r="P12" s="159">
        <f t="shared" si="9"/>
        <v>27121.899999999998</v>
      </c>
    </row>
    <row r="13" spans="1:16" ht="15.75" customHeight="1" x14ac:dyDescent="0.25">
      <c r="A13" s="413"/>
      <c r="B13" s="414">
        <v>2</v>
      </c>
      <c r="C13" s="415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61" t="s">
        <v>190</v>
      </c>
      <c r="E13" s="408" t="s">
        <v>183</v>
      </c>
      <c r="F13" s="73">
        <f>SUM(F14:F20)</f>
        <v>11.636100000000001</v>
      </c>
      <c r="G13" s="73">
        <f t="shared" ref="G13:H13" si="10">SUM(G14:G20)</f>
        <v>13.9947</v>
      </c>
      <c r="H13" s="73">
        <f t="shared" si="10"/>
        <v>13.9947</v>
      </c>
      <c r="I13" s="64">
        <f t="shared" si="2"/>
        <v>39.625500000000002</v>
      </c>
      <c r="J13" s="410" t="s">
        <v>191</v>
      </c>
      <c r="K13" s="409"/>
      <c r="M13" s="161">
        <f>SUM(M14:M20)</f>
        <v>11636.1</v>
      </c>
      <c r="N13" s="161">
        <f t="shared" ref="N13:O13" si="11">SUM(N14:N20)</f>
        <v>13994.7</v>
      </c>
      <c r="O13" s="161">
        <f t="shared" si="11"/>
        <v>13994.7</v>
      </c>
      <c r="P13" s="159">
        <f t="shared" si="9"/>
        <v>39625.5</v>
      </c>
    </row>
    <row r="14" spans="1:16" ht="25.5" x14ac:dyDescent="0.25">
      <c r="A14" s="413"/>
      <c r="B14" s="414"/>
      <c r="C14" s="415"/>
      <c r="D14" s="55" t="s">
        <v>188</v>
      </c>
      <c r="E14" s="408"/>
      <c r="F14" s="73">
        <f t="shared" ref="F14:F20" si="12">M14/1000</f>
        <v>1.3959999999999999</v>
      </c>
      <c r="G14" s="73">
        <f t="shared" ref="G14:G20" si="13">N14/1000</f>
        <v>1.747684</v>
      </c>
      <c r="H14" s="73">
        <f t="shared" ref="H14:H20" si="14">O14/1000</f>
        <v>1.747684</v>
      </c>
      <c r="I14" s="64">
        <f t="shared" si="2"/>
        <v>4.8913679999999999</v>
      </c>
      <c r="J14" s="411"/>
      <c r="K14" s="409"/>
      <c r="M14" s="141">
        <f>F46</f>
        <v>1396</v>
      </c>
      <c r="N14" s="141">
        <f t="shared" ref="N14:O20" si="15">G46</f>
        <v>1747.684</v>
      </c>
      <c r="O14" s="141">
        <f t="shared" si="15"/>
        <v>1747.684</v>
      </c>
      <c r="P14" s="159">
        <f t="shared" si="9"/>
        <v>4891.3680000000004</v>
      </c>
    </row>
    <row r="15" spans="1:16" ht="25.5" x14ac:dyDescent="0.25">
      <c r="A15" s="413"/>
      <c r="B15" s="414"/>
      <c r="C15" s="415"/>
      <c r="D15" s="55" t="s">
        <v>197</v>
      </c>
      <c r="E15" s="408"/>
      <c r="F15" s="73">
        <f t="shared" si="12"/>
        <v>0.69799999999999995</v>
      </c>
      <c r="G15" s="73">
        <f t="shared" si="13"/>
        <v>0.87384400000000007</v>
      </c>
      <c r="H15" s="73">
        <f t="shared" si="14"/>
        <v>0.87384400000000007</v>
      </c>
      <c r="I15" s="64">
        <f t="shared" si="2"/>
        <v>2.4456880000000001</v>
      </c>
      <c r="J15" s="411"/>
      <c r="K15" s="409"/>
      <c r="M15" s="141">
        <f t="shared" ref="M15:M20" si="16">F47</f>
        <v>698</v>
      </c>
      <c r="N15" s="141">
        <f t="shared" si="15"/>
        <v>873.84400000000005</v>
      </c>
      <c r="O15" s="141">
        <f t="shared" si="15"/>
        <v>873.84400000000005</v>
      </c>
      <c r="P15" s="159">
        <f t="shared" si="9"/>
        <v>2445.6880000000001</v>
      </c>
    </row>
    <row r="16" spans="1:16" ht="25.5" x14ac:dyDescent="0.25">
      <c r="A16" s="413"/>
      <c r="B16" s="414"/>
      <c r="C16" s="415"/>
      <c r="D16" s="55" t="s">
        <v>189</v>
      </c>
      <c r="E16" s="408"/>
      <c r="F16" s="73">
        <f t="shared" si="12"/>
        <v>0.69799999999999995</v>
      </c>
      <c r="G16" s="73">
        <f t="shared" si="13"/>
        <v>0.87384400000000007</v>
      </c>
      <c r="H16" s="73">
        <f t="shared" si="14"/>
        <v>0.87384400000000007</v>
      </c>
      <c r="I16" s="64">
        <f t="shared" si="2"/>
        <v>2.4456880000000001</v>
      </c>
      <c r="J16" s="411"/>
      <c r="K16" s="409"/>
      <c r="M16" s="141">
        <f t="shared" si="16"/>
        <v>698</v>
      </c>
      <c r="N16" s="141">
        <f t="shared" si="15"/>
        <v>873.84400000000005</v>
      </c>
      <c r="O16" s="141">
        <f t="shared" si="15"/>
        <v>873.84400000000005</v>
      </c>
      <c r="P16" s="159">
        <f t="shared" si="9"/>
        <v>2445.6880000000001</v>
      </c>
    </row>
    <row r="17" spans="1:18" ht="25.5" x14ac:dyDescent="0.25">
      <c r="A17" s="413"/>
      <c r="B17" s="414"/>
      <c r="C17" s="415"/>
      <c r="D17" s="55" t="s">
        <v>198</v>
      </c>
      <c r="E17" s="408"/>
      <c r="F17" s="73">
        <f t="shared" si="12"/>
        <v>0.69799999999999995</v>
      </c>
      <c r="G17" s="73">
        <f t="shared" si="13"/>
        <v>0.87384400000000007</v>
      </c>
      <c r="H17" s="73">
        <f t="shared" si="14"/>
        <v>0.87384400000000007</v>
      </c>
      <c r="I17" s="64">
        <f t="shared" si="2"/>
        <v>2.4456880000000001</v>
      </c>
      <c r="J17" s="411"/>
      <c r="K17" s="409"/>
      <c r="M17" s="141">
        <f t="shared" si="16"/>
        <v>698</v>
      </c>
      <c r="N17" s="141">
        <f t="shared" si="15"/>
        <v>873.84400000000005</v>
      </c>
      <c r="O17" s="141">
        <f t="shared" si="15"/>
        <v>873.84400000000005</v>
      </c>
      <c r="P17" s="159">
        <f t="shared" si="9"/>
        <v>2445.6880000000001</v>
      </c>
    </row>
    <row r="18" spans="1:18" ht="25.5" customHeight="1" x14ac:dyDescent="0.25">
      <c r="A18" s="413"/>
      <c r="B18" s="414"/>
      <c r="C18" s="415"/>
      <c r="D18" s="219" t="s">
        <v>187</v>
      </c>
      <c r="E18" s="408"/>
      <c r="F18" s="73">
        <f t="shared" si="12"/>
        <v>5.1211000000000002</v>
      </c>
      <c r="G18" s="73">
        <f t="shared" si="13"/>
        <v>6.0293370000000008</v>
      </c>
      <c r="H18" s="73">
        <f t="shared" si="14"/>
        <v>6.0293370000000008</v>
      </c>
      <c r="I18" s="64">
        <f t="shared" si="2"/>
        <v>17.179774000000002</v>
      </c>
      <c r="J18" s="411"/>
      <c r="K18" s="409"/>
      <c r="M18" s="141">
        <f t="shared" si="16"/>
        <v>5121.1000000000004</v>
      </c>
      <c r="N18" s="141">
        <f t="shared" si="15"/>
        <v>6029.3370000000004</v>
      </c>
      <c r="O18" s="141">
        <f t="shared" si="15"/>
        <v>6029.3370000000004</v>
      </c>
      <c r="P18" s="159">
        <f t="shared" si="9"/>
        <v>17179.774000000001</v>
      </c>
    </row>
    <row r="19" spans="1:18" ht="25.5" x14ac:dyDescent="0.25">
      <c r="A19" s="413"/>
      <c r="B19" s="414"/>
      <c r="C19" s="415"/>
      <c r="D19" s="55" t="s">
        <v>186</v>
      </c>
      <c r="E19" s="408"/>
      <c r="F19" s="73">
        <f t="shared" si="12"/>
        <v>0</v>
      </c>
      <c r="G19" s="73">
        <f t="shared" si="13"/>
        <v>0</v>
      </c>
      <c r="H19" s="73">
        <f t="shared" si="14"/>
        <v>0</v>
      </c>
      <c r="I19" s="64">
        <f t="shared" si="2"/>
        <v>0</v>
      </c>
      <c r="J19" s="411"/>
      <c r="K19" s="409"/>
      <c r="M19" s="141">
        <f t="shared" si="16"/>
        <v>0</v>
      </c>
      <c r="N19" s="141">
        <f t="shared" si="15"/>
        <v>0</v>
      </c>
      <c r="O19" s="141">
        <f t="shared" si="15"/>
        <v>0</v>
      </c>
      <c r="P19" s="159">
        <f t="shared" si="9"/>
        <v>0</v>
      </c>
    </row>
    <row r="20" spans="1:18" ht="25.5" customHeight="1" x14ac:dyDescent="0.25">
      <c r="A20" s="413"/>
      <c r="B20" s="414"/>
      <c r="C20" s="415"/>
      <c r="D20" s="55" t="s">
        <v>196</v>
      </c>
      <c r="E20" s="408"/>
      <c r="F20" s="73">
        <f t="shared" si="12"/>
        <v>3.0249999999999999</v>
      </c>
      <c r="G20" s="73">
        <f t="shared" si="13"/>
        <v>3.5961469999999998</v>
      </c>
      <c r="H20" s="73">
        <f t="shared" si="14"/>
        <v>3.5961469999999998</v>
      </c>
      <c r="I20" s="64">
        <f t="shared" si="2"/>
        <v>10.217293999999999</v>
      </c>
      <c r="J20" s="412"/>
      <c r="K20" s="409"/>
      <c r="M20" s="141">
        <f t="shared" si="16"/>
        <v>3025</v>
      </c>
      <c r="N20" s="141">
        <f t="shared" si="15"/>
        <v>3596.1469999999999</v>
      </c>
      <c r="O20" s="141">
        <f t="shared" si="15"/>
        <v>3596.1469999999999</v>
      </c>
      <c r="P20" s="159">
        <f t="shared" si="9"/>
        <v>10217.294</v>
      </c>
    </row>
    <row r="21" spans="1:18" ht="93" customHeight="1" x14ac:dyDescent="0.25">
      <c r="A21" s="413"/>
      <c r="B21" s="165">
        <v>3</v>
      </c>
      <c r="C21" s="97" t="str">
        <f>'пр к ПП1'!B19</f>
        <v>Расходы на содержание дороги Туруханск - Селиваниха и дорог межселенной территории (дорожный фонд)</v>
      </c>
      <c r="D21" s="61" t="s">
        <v>192</v>
      </c>
      <c r="E21" s="89" t="s">
        <v>183</v>
      </c>
      <c r="F21" s="65">
        <f>('пр к ПП1'!H20+'пр к ПП1'!H19)/1000</f>
        <v>5.65083</v>
      </c>
      <c r="G21" s="65">
        <f>('пр к ПП1'!I20+'пр к ПП1'!I19)/1000</f>
        <v>5.65083</v>
      </c>
      <c r="H21" s="65">
        <f>('пр к ПП1'!J20+'пр к ПП1'!J19)/1000</f>
        <v>5.65083</v>
      </c>
      <c r="I21" s="64">
        <f>SUM(F21:H21)</f>
        <v>16.952490000000001</v>
      </c>
      <c r="J21" s="164" t="s">
        <v>184</v>
      </c>
      <c r="K21" s="409"/>
    </row>
    <row r="22" spans="1:18" ht="109.5" customHeight="1" x14ac:dyDescent="0.25">
      <c r="A22" s="413"/>
      <c r="B22" s="165">
        <v>4</v>
      </c>
      <c r="C22" s="97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61" t="s">
        <v>193</v>
      </c>
      <c r="E22" s="89" t="s">
        <v>194</v>
      </c>
      <c r="F22" s="64">
        <f>'пр к ПП1'!H22/1000</f>
        <v>2.2387550000000003</v>
      </c>
      <c r="G22" s="64">
        <f>'пр к ПП1'!I22/1000</f>
        <v>2.2387550000000003</v>
      </c>
      <c r="H22" s="64">
        <f>'пр к ПП1'!J22/1000</f>
        <v>2.2387550000000003</v>
      </c>
      <c r="I22" s="64">
        <f>'пр к ПП1'!K22/1000</f>
        <v>6.7162649999999999</v>
      </c>
      <c r="J22" s="164" t="s">
        <v>184</v>
      </c>
      <c r="K22" s="409"/>
    </row>
    <row r="23" spans="1:18" ht="109.5" customHeight="1" x14ac:dyDescent="0.25">
      <c r="A23" s="413"/>
      <c r="B23" s="416">
        <v>5</v>
      </c>
      <c r="C23" s="416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10" t="s">
        <v>192</v>
      </c>
      <c r="E23" s="418" t="s">
        <v>183</v>
      </c>
      <c r="F23" s="159">
        <f>'пр к ПП1'!H24/1000</f>
        <v>0</v>
      </c>
      <c r="G23" s="159">
        <f>'пр к ПП1'!I24/1000</f>
        <v>0</v>
      </c>
      <c r="H23" s="159">
        <f>'пр к ПП1'!J24/1000</f>
        <v>0</v>
      </c>
      <c r="I23" s="159">
        <f>'пр к ПП1'!K24/1000</f>
        <v>0</v>
      </c>
      <c r="J23" s="227" t="s">
        <v>191</v>
      </c>
      <c r="K23" s="166"/>
    </row>
    <row r="24" spans="1:18" ht="109.5" customHeight="1" x14ac:dyDescent="0.25">
      <c r="A24" s="413"/>
      <c r="B24" s="417"/>
      <c r="C24" s="417"/>
      <c r="D24" s="412"/>
      <c r="E24" s="419"/>
      <c r="F24" s="159">
        <f>'пр к ПП1'!H25/1000</f>
        <v>0</v>
      </c>
      <c r="G24" s="159">
        <f>'пр к ПП1'!I25/1000</f>
        <v>0</v>
      </c>
      <c r="H24" s="159">
        <f>'пр к ПП1'!J25/1000</f>
        <v>0</v>
      </c>
      <c r="I24" s="159">
        <f>'пр к ПП1'!K25/1000</f>
        <v>0</v>
      </c>
      <c r="J24" s="164" t="s">
        <v>184</v>
      </c>
      <c r="K24" s="228"/>
    </row>
    <row r="25" spans="1:18" ht="109.5" customHeight="1" x14ac:dyDescent="0.25">
      <c r="A25" s="413"/>
      <c r="B25" s="209">
        <v>6</v>
      </c>
      <c r="C25" s="97" t="str">
        <f>'пр к ПП1'!B27</f>
        <v>Обустройство и содержание зимней автодороги Игарка - Светлогосрк - Туруханск</v>
      </c>
      <c r="D25" s="61" t="s">
        <v>192</v>
      </c>
      <c r="E25" s="89" t="s">
        <v>183</v>
      </c>
      <c r="F25" s="64">
        <f>'пр к ПП1'!H27/1000</f>
        <v>12.45</v>
      </c>
      <c r="G25" s="64">
        <f>'пр к ПП1'!I27/1000</f>
        <v>12.45</v>
      </c>
      <c r="H25" s="64">
        <f>'пр к ПП1'!J27/1000</f>
        <v>12.45</v>
      </c>
      <c r="I25" s="64">
        <f>'пр к ПП1'!K27/1000</f>
        <v>37.35</v>
      </c>
      <c r="J25" s="208" t="s">
        <v>184</v>
      </c>
      <c r="K25" s="210"/>
    </row>
    <row r="26" spans="1:18" x14ac:dyDescent="0.25">
      <c r="A26" s="413"/>
      <c r="B26" s="62"/>
      <c r="C26" s="103" t="s">
        <v>220</v>
      </c>
      <c r="D26" s="62" t="s">
        <v>30</v>
      </c>
      <c r="E26" s="62" t="s">
        <v>30</v>
      </c>
      <c r="F26" s="66">
        <f>F5+F13+F21+F22+F23+F24+F25</f>
        <v>58.345884999999996</v>
      </c>
      <c r="G26" s="66">
        <f>G5+G13+G21+G22+G23+G24+G25</f>
        <v>61.732884999999996</v>
      </c>
      <c r="H26" s="66">
        <f t="shared" ref="H26:I26" si="17">H5+H13+H21+H22+H23+H24+H25</f>
        <v>62.801384999999996</v>
      </c>
      <c r="I26" s="66">
        <f t="shared" si="17"/>
        <v>182.880155</v>
      </c>
      <c r="J26" s="62" t="s">
        <v>30</v>
      </c>
      <c r="K26" s="90"/>
    </row>
    <row r="28" spans="1:18" s="68" customFormat="1" x14ac:dyDescent="0.25">
      <c r="B28" s="67"/>
      <c r="F28" s="69">
        <f>SUM(F6:F12,F14:F20)</f>
        <v>38.006300000000003</v>
      </c>
      <c r="G28" s="69">
        <f>SUM(G6:G12,G14:G20)</f>
        <v>41.393299999999996</v>
      </c>
      <c r="H28" s="69">
        <f>SUM(H6:H12,H14:H20)</f>
        <v>42.461799999999997</v>
      </c>
      <c r="I28" s="69">
        <f>SUM(I6:I12,I14:I20)</f>
        <v>121.86140000000002</v>
      </c>
      <c r="L28"/>
      <c r="M28"/>
      <c r="N28"/>
      <c r="O28"/>
      <c r="P28"/>
      <c r="Q28"/>
      <c r="R28"/>
    </row>
    <row r="29" spans="1:18" s="68" customFormat="1" x14ac:dyDescent="0.25">
      <c r="B29" s="67"/>
      <c r="F29" s="70">
        <f>('пр к ПП1'!H17+'пр к ПП1'!H15)/1000</f>
        <v>43.6252</v>
      </c>
      <c r="G29" s="70">
        <f>('пр к ПП1'!I17+'пр к ПП1'!I15)/1000</f>
        <v>44.765000000000001</v>
      </c>
      <c r="H29" s="70">
        <f>('пр к ПП1'!J17+'пр к ПП1'!J15)/1000</f>
        <v>45.950400000000002</v>
      </c>
      <c r="I29" s="70">
        <f>('пр к ПП1'!K17+'пр к ПП1'!K15)/1000</f>
        <v>134.34059999999999</v>
      </c>
      <c r="L29"/>
      <c r="M29"/>
      <c r="N29"/>
      <c r="O29"/>
      <c r="P29"/>
      <c r="Q29"/>
      <c r="R29"/>
    </row>
    <row r="30" spans="1:18" s="68" customFormat="1" x14ac:dyDescent="0.25">
      <c r="B30" s="67"/>
      <c r="F30" s="70" t="b">
        <f>F28=F29</f>
        <v>0</v>
      </c>
      <c r="G30" s="70" t="b">
        <f t="shared" ref="G30:I30" si="18">G28=G29</f>
        <v>0</v>
      </c>
      <c r="H30" s="70" t="b">
        <f t="shared" si="18"/>
        <v>0</v>
      </c>
      <c r="I30" s="70" t="b">
        <f t="shared" si="18"/>
        <v>0</v>
      </c>
      <c r="L30"/>
      <c r="M30"/>
      <c r="N30"/>
      <c r="O30"/>
      <c r="P30"/>
      <c r="Q30"/>
      <c r="R30"/>
    </row>
    <row r="34" spans="2:8" s="233" customFormat="1" x14ac:dyDescent="0.25">
      <c r="B34" s="234"/>
      <c r="D34" s="235" t="s">
        <v>243</v>
      </c>
      <c r="F34" s="236" t="str">
        <f>F4</f>
        <v>2021</v>
      </c>
      <c r="G34" s="236" t="str">
        <f t="shared" ref="G34:H34" si="19">G4</f>
        <v>2022</v>
      </c>
      <c r="H34" s="236" t="str">
        <f t="shared" si="19"/>
        <v>2023</v>
      </c>
    </row>
    <row r="35" spans="2:8" s="233" customFormat="1" x14ac:dyDescent="0.25">
      <c r="B35" s="234"/>
      <c r="D35" s="237" t="s">
        <v>276</v>
      </c>
      <c r="F35" s="238">
        <v>3956.4</v>
      </c>
      <c r="G35" s="239">
        <v>4110</v>
      </c>
      <c r="H35" s="239">
        <v>4271</v>
      </c>
    </row>
    <row r="36" spans="2:8" s="233" customFormat="1" x14ac:dyDescent="0.25">
      <c r="B36" s="234"/>
      <c r="D36" s="237" t="s">
        <v>277</v>
      </c>
      <c r="F36" s="238">
        <v>879.2</v>
      </c>
      <c r="G36" s="239">
        <v>914</v>
      </c>
      <c r="H36" s="239">
        <v>950</v>
      </c>
    </row>
    <row r="37" spans="2:8" s="233" customFormat="1" x14ac:dyDescent="0.25">
      <c r="B37" s="234"/>
      <c r="D37" s="237" t="s">
        <v>278</v>
      </c>
      <c r="F37" s="238">
        <v>2813.4</v>
      </c>
      <c r="G37" s="239">
        <v>2922</v>
      </c>
      <c r="H37" s="239">
        <v>3036</v>
      </c>
    </row>
    <row r="38" spans="2:8" s="233" customFormat="1" x14ac:dyDescent="0.25">
      <c r="B38" s="234"/>
      <c r="D38" s="237" t="s">
        <v>279</v>
      </c>
      <c r="F38" s="238">
        <v>879.2</v>
      </c>
      <c r="G38" s="239">
        <v>914</v>
      </c>
      <c r="H38" s="239">
        <v>950</v>
      </c>
    </row>
    <row r="39" spans="2:8" s="233" customFormat="1" x14ac:dyDescent="0.25">
      <c r="B39" s="234"/>
      <c r="D39" s="237" t="s">
        <v>280</v>
      </c>
      <c r="F39" s="238">
        <v>8000.8</v>
      </c>
      <c r="G39" s="239">
        <v>8312.6</v>
      </c>
      <c r="H39" s="239">
        <v>8637</v>
      </c>
    </row>
    <row r="40" spans="2:8" s="233" customFormat="1" x14ac:dyDescent="0.25">
      <c r="B40" s="234"/>
      <c r="D40" s="237" t="s">
        <v>281</v>
      </c>
      <c r="F40" s="238">
        <v>1143.4000000000001</v>
      </c>
      <c r="G40" s="239">
        <v>1190</v>
      </c>
      <c r="H40" s="239">
        <v>1235</v>
      </c>
    </row>
    <row r="41" spans="2:8" s="233" customFormat="1" x14ac:dyDescent="0.25">
      <c r="B41" s="234"/>
      <c r="D41" s="237" t="s">
        <v>282</v>
      </c>
      <c r="F41" s="238">
        <v>8697.7999999999993</v>
      </c>
      <c r="G41" s="239">
        <v>9036</v>
      </c>
      <c r="H41" s="239">
        <v>9388.0999999999985</v>
      </c>
    </row>
    <row r="42" spans="2:8" s="233" customFormat="1" x14ac:dyDescent="0.25">
      <c r="B42" s="234"/>
      <c r="F42" s="240">
        <f>SUM(F35:F41)</f>
        <v>26370.2</v>
      </c>
      <c r="G42" s="240">
        <f t="shared" ref="G42:H42" si="20">SUM(G35:G41)</f>
        <v>27398.6</v>
      </c>
      <c r="H42" s="240">
        <f t="shared" si="20"/>
        <v>28467.1</v>
      </c>
    </row>
    <row r="43" spans="2:8" s="233" customFormat="1" x14ac:dyDescent="0.25">
      <c r="B43" s="234"/>
    </row>
    <row r="44" spans="2:8" s="233" customFormat="1" x14ac:dyDescent="0.25">
      <c r="B44" s="234"/>
    </row>
    <row r="45" spans="2:8" s="233" customFormat="1" x14ac:dyDescent="0.25">
      <c r="B45" s="234"/>
      <c r="D45" s="235" t="s">
        <v>242</v>
      </c>
      <c r="F45" s="236" t="str">
        <f>F34</f>
        <v>2021</v>
      </c>
      <c r="G45" s="236" t="str">
        <f t="shared" ref="G45:H45" si="21">G34</f>
        <v>2022</v>
      </c>
      <c r="H45" s="236" t="str">
        <f t="shared" si="21"/>
        <v>2023</v>
      </c>
    </row>
    <row r="46" spans="2:8" s="233" customFormat="1" x14ac:dyDescent="0.25">
      <c r="B46" s="234"/>
      <c r="D46" s="237" t="s">
        <v>276</v>
      </c>
      <c r="F46" s="238">
        <v>1396</v>
      </c>
      <c r="G46" s="239">
        <v>1747.684</v>
      </c>
      <c r="H46" s="239">
        <v>1747.684</v>
      </c>
    </row>
    <row r="47" spans="2:8" s="233" customFormat="1" x14ac:dyDescent="0.25">
      <c r="B47" s="234"/>
      <c r="D47" s="237" t="s">
        <v>277</v>
      </c>
      <c r="F47" s="238">
        <v>698</v>
      </c>
      <c r="G47" s="239">
        <v>873.84400000000005</v>
      </c>
      <c r="H47" s="239">
        <v>873.84400000000005</v>
      </c>
    </row>
    <row r="48" spans="2:8" s="233" customFormat="1" x14ac:dyDescent="0.25">
      <c r="B48" s="234"/>
      <c r="D48" s="237" t="s">
        <v>278</v>
      </c>
      <c r="F48" s="238">
        <v>698</v>
      </c>
      <c r="G48" s="239">
        <v>873.84400000000005</v>
      </c>
      <c r="H48" s="239">
        <v>873.84400000000005</v>
      </c>
    </row>
    <row r="49" spans="2:8" s="233" customFormat="1" x14ac:dyDescent="0.25">
      <c r="B49" s="234"/>
      <c r="D49" s="237" t="s">
        <v>279</v>
      </c>
      <c r="F49" s="238">
        <v>698</v>
      </c>
      <c r="G49" s="239">
        <v>873.84400000000005</v>
      </c>
      <c r="H49" s="239">
        <v>873.84400000000005</v>
      </c>
    </row>
    <row r="50" spans="2:8" s="233" customFormat="1" x14ac:dyDescent="0.25">
      <c r="B50" s="234"/>
      <c r="D50" s="237" t="s">
        <v>280</v>
      </c>
      <c r="F50" s="238">
        <v>5121.1000000000004</v>
      </c>
      <c r="G50" s="239">
        <v>6029.3370000000004</v>
      </c>
      <c r="H50" s="239">
        <v>6029.3370000000004</v>
      </c>
    </row>
    <row r="51" spans="2:8" s="233" customFormat="1" x14ac:dyDescent="0.25">
      <c r="B51" s="234"/>
      <c r="D51" s="237" t="s">
        <v>281</v>
      </c>
      <c r="F51" s="238"/>
      <c r="G51" s="239"/>
      <c r="H51" s="239"/>
    </row>
    <row r="52" spans="2:8" s="233" customFormat="1" x14ac:dyDescent="0.25">
      <c r="B52" s="234"/>
      <c r="D52" s="237" t="s">
        <v>282</v>
      </c>
      <c r="F52" s="238">
        <v>3025</v>
      </c>
      <c r="G52" s="239">
        <v>3596.1469999999999</v>
      </c>
      <c r="H52" s="239">
        <v>3596.1469999999999</v>
      </c>
    </row>
    <row r="53" spans="2:8" x14ac:dyDescent="0.25">
      <c r="F53" s="240">
        <f>SUM(F46:F52)</f>
        <v>11636.1</v>
      </c>
      <c r="G53" s="240">
        <f t="shared" ref="G53" si="22">SUM(G46:G52)</f>
        <v>13994.7</v>
      </c>
      <c r="H53" s="240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08" t="s">
        <v>19</v>
      </c>
      <c r="B1" s="408" t="s">
        <v>174</v>
      </c>
      <c r="C1" s="408" t="s">
        <v>175</v>
      </c>
      <c r="D1" s="408" t="s">
        <v>176</v>
      </c>
      <c r="E1" s="408" t="s">
        <v>177</v>
      </c>
      <c r="F1" s="408"/>
      <c r="G1" s="408"/>
      <c r="H1" s="408"/>
      <c r="I1" s="408"/>
    </row>
    <row r="2" spans="1:10" x14ac:dyDescent="0.25">
      <c r="A2" s="408"/>
      <c r="B2" s="408"/>
      <c r="C2" s="408"/>
      <c r="D2" s="408"/>
      <c r="E2" s="408" t="s">
        <v>178</v>
      </c>
      <c r="F2" s="408"/>
      <c r="G2" s="408"/>
      <c r="H2" s="408"/>
      <c r="I2" s="408" t="s">
        <v>179</v>
      </c>
    </row>
    <row r="3" spans="1:10" x14ac:dyDescent="0.25">
      <c r="A3" s="408"/>
      <c r="B3" s="408"/>
      <c r="C3" s="408"/>
      <c r="D3" s="408"/>
      <c r="E3" s="408" t="s">
        <v>180</v>
      </c>
      <c r="F3" s="408"/>
      <c r="G3" s="408"/>
      <c r="H3" s="408" t="s">
        <v>181</v>
      </c>
      <c r="I3" s="408"/>
    </row>
    <row r="4" spans="1:10" x14ac:dyDescent="0.25">
      <c r="A4" s="408"/>
      <c r="B4" s="408"/>
      <c r="C4" s="408"/>
      <c r="D4" s="408"/>
      <c r="E4" s="144">
        <v>2018</v>
      </c>
      <c r="F4" s="144">
        <v>2019</v>
      </c>
      <c r="G4" s="144">
        <v>2020</v>
      </c>
      <c r="H4" s="408"/>
      <c r="I4" s="408"/>
    </row>
    <row r="5" spans="1:10" ht="92.25" customHeight="1" x14ac:dyDescent="0.25">
      <c r="A5" s="54">
        <v>1</v>
      </c>
      <c r="B5" s="55" t="s">
        <v>104</v>
      </c>
      <c r="C5" s="421" t="s">
        <v>182</v>
      </c>
      <c r="D5" s="410" t="s">
        <v>183</v>
      </c>
      <c r="E5" s="151">
        <f>'пр к ПП2'!H15/1000</f>
        <v>111.8347</v>
      </c>
      <c r="F5" s="151">
        <f>'пр к ПП2'!I15/1000</f>
        <v>111.8347</v>
      </c>
      <c r="G5" s="151">
        <f>'пр к ПП2'!J15/1000</f>
        <v>111.8347</v>
      </c>
      <c r="H5" s="151">
        <f t="shared" ref="H5:H12" si="0">SUM(E5:G5)</f>
        <v>335.50409999999999</v>
      </c>
      <c r="I5" s="54" t="s">
        <v>184</v>
      </c>
    </row>
    <row r="6" spans="1:10" ht="92.25" customHeight="1" x14ac:dyDescent="0.25">
      <c r="A6" s="164" t="s">
        <v>3</v>
      </c>
      <c r="B6" s="55" t="s">
        <v>247</v>
      </c>
      <c r="C6" s="422"/>
      <c r="D6" s="411"/>
      <c r="E6" s="151">
        <f>E5-E7</f>
        <v>100.14662674</v>
      </c>
      <c r="F6" s="151">
        <f t="shared" ref="F6:G6" si="1">F5-F7</f>
        <v>100.14662674</v>
      </c>
      <c r="G6" s="151">
        <f t="shared" si="1"/>
        <v>100.14662674</v>
      </c>
      <c r="H6" s="151">
        <f t="shared" si="0"/>
        <v>300.43988022000002</v>
      </c>
      <c r="I6" s="164" t="s">
        <v>184</v>
      </c>
    </row>
    <row r="7" spans="1:10" ht="92.25" customHeight="1" x14ac:dyDescent="0.25">
      <c r="A7" s="164" t="s">
        <v>83</v>
      </c>
      <c r="B7" s="55" t="s">
        <v>248</v>
      </c>
      <c r="C7" s="423"/>
      <c r="D7" s="412"/>
      <c r="E7" s="151">
        <f>(1688073.36+9999999.9)/1000000</f>
        <v>11.688073259999999</v>
      </c>
      <c r="F7" s="151">
        <f t="shared" ref="F7:G7" si="2">(1688073.36+9999999.9)/1000000</f>
        <v>11.688073259999999</v>
      </c>
      <c r="G7" s="151">
        <f t="shared" si="2"/>
        <v>11.688073259999999</v>
      </c>
      <c r="H7" s="151">
        <f t="shared" si="0"/>
        <v>35.064219780000002</v>
      </c>
      <c r="I7" s="164" t="s">
        <v>184</v>
      </c>
    </row>
    <row r="8" spans="1:10" ht="87" customHeight="1" x14ac:dyDescent="0.25">
      <c r="A8" s="408">
        <v>2</v>
      </c>
      <c r="B8" s="420" t="s">
        <v>105</v>
      </c>
      <c r="C8" s="56" t="s">
        <v>185</v>
      </c>
      <c r="D8" s="408" t="s">
        <v>183</v>
      </c>
      <c r="E8" s="151">
        <f>SUM(E9:E12)</f>
        <v>23.853501561414642</v>
      </c>
      <c r="F8" s="151">
        <f t="shared" ref="F8:G8" si="3">SUM(F9:F12)</f>
        <v>23.853501561414642</v>
      </c>
      <c r="G8" s="151">
        <f t="shared" si="3"/>
        <v>23.853501561414642</v>
      </c>
      <c r="H8" s="151">
        <f t="shared" si="0"/>
        <v>71.560504684243924</v>
      </c>
      <c r="I8" s="410" t="s">
        <v>184</v>
      </c>
    </row>
    <row r="9" spans="1:10" x14ac:dyDescent="0.25">
      <c r="A9" s="408"/>
      <c r="B9" s="420"/>
      <c r="C9" s="57" t="s">
        <v>187</v>
      </c>
      <c r="D9" s="408"/>
      <c r="E9" s="152">
        <f>J9/1000000</f>
        <v>18.31394842027715</v>
      </c>
      <c r="F9" s="152">
        <f>E9</f>
        <v>18.31394842027715</v>
      </c>
      <c r="G9" s="152">
        <f>F9</f>
        <v>18.31394842027715</v>
      </c>
      <c r="H9" s="152">
        <f t="shared" si="0"/>
        <v>54.94184526083145</v>
      </c>
      <c r="I9" s="411"/>
      <c r="J9" s="217">
        <v>18313948.420277148</v>
      </c>
    </row>
    <row r="10" spans="1:10" x14ac:dyDescent="0.25">
      <c r="A10" s="408"/>
      <c r="B10" s="420"/>
      <c r="C10" s="57" t="s">
        <v>188</v>
      </c>
      <c r="D10" s="408"/>
      <c r="E10" s="152">
        <f t="shared" ref="E10:E12" si="4">J10/1000000</f>
        <v>3.2322237667255029</v>
      </c>
      <c r="F10" s="152">
        <f t="shared" ref="F10:G12" si="5">E10</f>
        <v>3.2322237667255029</v>
      </c>
      <c r="G10" s="152">
        <f t="shared" si="5"/>
        <v>3.2322237667255029</v>
      </c>
      <c r="H10" s="152">
        <f t="shared" si="0"/>
        <v>9.6966713001765079</v>
      </c>
      <c r="I10" s="411"/>
      <c r="J10" s="217">
        <v>3232223.7667255029</v>
      </c>
    </row>
    <row r="11" spans="1:10" x14ac:dyDescent="0.25">
      <c r="A11" s="408"/>
      <c r="B11" s="420"/>
      <c r="C11" s="57" t="s">
        <v>189</v>
      </c>
      <c r="D11" s="408"/>
      <c r="E11" s="152">
        <f t="shared" si="4"/>
        <v>1.7207185929828479</v>
      </c>
      <c r="F11" s="152">
        <f t="shared" si="5"/>
        <v>1.7207185929828479</v>
      </c>
      <c r="G11" s="152">
        <f t="shared" si="5"/>
        <v>1.7207185929828479</v>
      </c>
      <c r="H11" s="152">
        <f t="shared" si="0"/>
        <v>5.1621557789485433</v>
      </c>
      <c r="I11" s="411"/>
      <c r="J11" s="217">
        <v>1720718.5929828479</v>
      </c>
    </row>
    <row r="12" spans="1:10" x14ac:dyDescent="0.25">
      <c r="A12" s="408"/>
      <c r="B12" s="420"/>
      <c r="C12" s="57" t="s">
        <v>186</v>
      </c>
      <c r="D12" s="408"/>
      <c r="E12" s="152">
        <f t="shared" si="4"/>
        <v>0.58661078142913992</v>
      </c>
      <c r="F12" s="152">
        <f t="shared" si="5"/>
        <v>0.58661078142913992</v>
      </c>
      <c r="G12" s="152">
        <f t="shared" si="5"/>
        <v>0.58661078142913992</v>
      </c>
      <c r="H12" s="152">
        <f t="shared" si="0"/>
        <v>1.7598323442874197</v>
      </c>
      <c r="I12" s="412"/>
      <c r="J12" s="217">
        <v>586610.7814291399</v>
      </c>
    </row>
    <row r="13" spans="1:10" ht="76.5" hidden="1" x14ac:dyDescent="0.25">
      <c r="A13" s="92">
        <v>3</v>
      </c>
      <c r="B13" s="93" t="e">
        <f>'пр к ПП2'!#REF!</f>
        <v>#REF!</v>
      </c>
      <c r="C13" s="55" t="s">
        <v>182</v>
      </c>
      <c r="D13" s="92" t="s">
        <v>218</v>
      </c>
      <c r="E13" s="152" t="e">
        <f>'пр к ПП2'!#REF!/1000</f>
        <v>#REF!</v>
      </c>
      <c r="F13" s="152" t="e">
        <f>'пр к ПП2'!#REF!/1000</f>
        <v>#REF!</v>
      </c>
      <c r="G13" s="152" t="e">
        <f>'пр к ПП2'!#REF!/1000</f>
        <v>#REF!</v>
      </c>
      <c r="H13" s="152" t="e">
        <f t="shared" ref="H13:H14" si="6">SUM(E13:G13)</f>
        <v>#REF!</v>
      </c>
      <c r="I13" s="92" t="s">
        <v>184</v>
      </c>
    </row>
    <row r="14" spans="1:10" ht="65.25" hidden="1" customHeight="1" outlineLevel="1" x14ac:dyDescent="0.25">
      <c r="A14" s="92">
        <v>3</v>
      </c>
      <c r="B14" s="93" t="str">
        <f>'пр к ПП2'!B22</f>
        <v>Создание условий для безопасности перевозок автомобильным, авиационным и речным транспортом</v>
      </c>
      <c r="C14" s="61" t="s">
        <v>192</v>
      </c>
      <c r="D14" s="92" t="s">
        <v>183</v>
      </c>
      <c r="E14" s="152">
        <f>'пр к ПП2'!H22/1000</f>
        <v>0</v>
      </c>
      <c r="F14" s="152">
        <f>'пр к ПП2'!I22/1000</f>
        <v>0</v>
      </c>
      <c r="G14" s="152">
        <f>'пр к ПП2'!J22/1000</f>
        <v>0</v>
      </c>
      <c r="H14" s="152">
        <f t="shared" si="6"/>
        <v>0</v>
      </c>
      <c r="I14" s="92" t="s">
        <v>184</v>
      </c>
    </row>
    <row r="15" spans="1:10" ht="140.25" hidden="1" outlineLevel="1" x14ac:dyDescent="0.25">
      <c r="A15" s="190">
        <v>4</v>
      </c>
      <c r="B15" s="191" t="str">
        <f>'пр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61" t="s">
        <v>262</v>
      </c>
      <c r="D15" s="190" t="s">
        <v>183</v>
      </c>
      <c r="E15" s="152">
        <f>'пр к ПП2'!H24/1000</f>
        <v>0</v>
      </c>
      <c r="F15" s="152">
        <f>'пр к ПП2'!I24/1000</f>
        <v>0</v>
      </c>
      <c r="G15" s="152">
        <f>'пр к ПП2'!J24/1000</f>
        <v>0</v>
      </c>
      <c r="H15" s="152">
        <f>'пр к ПП2'!K24/1000</f>
        <v>0</v>
      </c>
      <c r="I15" s="190" t="s">
        <v>184</v>
      </c>
    </row>
    <row r="16" spans="1:10" s="60" customFormat="1" collapsed="1" x14ac:dyDescent="0.25">
      <c r="A16" s="58"/>
      <c r="B16" s="103" t="s">
        <v>220</v>
      </c>
      <c r="C16" s="59" t="s">
        <v>30</v>
      </c>
      <c r="D16" s="59" t="s">
        <v>30</v>
      </c>
      <c r="E16" s="153">
        <f>E5+E8+E15</f>
        <v>135.68820156141464</v>
      </c>
      <c r="F16" s="153">
        <f t="shared" ref="F16:H16" si="7">F5+F8+F15</f>
        <v>135.68820156141464</v>
      </c>
      <c r="G16" s="153">
        <f t="shared" si="7"/>
        <v>135.68820156141464</v>
      </c>
      <c r="H16" s="153">
        <f t="shared" si="7"/>
        <v>407.06460468424393</v>
      </c>
      <c r="I16" s="59" t="s">
        <v>30</v>
      </c>
    </row>
    <row r="19" spans="3:8" x14ac:dyDescent="0.25">
      <c r="C19" s="57"/>
      <c r="E19" s="216">
        <f>E16*1000-'пр к ПП2'!H35</f>
        <v>-10561.045438585366</v>
      </c>
      <c r="F19" s="216">
        <f>F16*1000-'пр к ПП2'!I35</f>
        <v>-10561.045438585366</v>
      </c>
      <c r="G19" s="216">
        <f>G16*1000-'пр к ПП2'!J35</f>
        <v>-10561.045438585366</v>
      </c>
      <c r="H19" s="216">
        <f>H16*1000-'пр к ПП2'!K35</f>
        <v>-31683.13631575607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98" customWidth="1"/>
    <col min="2" max="2" width="20.375" customWidth="1"/>
    <col min="3" max="3" width="28" customWidth="1"/>
    <col min="4" max="4" width="10" customWidth="1"/>
    <col min="9" max="9" width="9" style="63"/>
  </cols>
  <sheetData>
    <row r="1" spans="1:9" x14ac:dyDescent="0.25">
      <c r="A1" s="424" t="s">
        <v>19</v>
      </c>
      <c r="B1" s="424" t="s">
        <v>174</v>
      </c>
      <c r="C1" s="424" t="s">
        <v>175</v>
      </c>
      <c r="D1" s="424" t="s">
        <v>176</v>
      </c>
      <c r="E1" s="424" t="s">
        <v>177</v>
      </c>
      <c r="F1" s="424"/>
      <c r="G1" s="424"/>
      <c r="H1" s="424"/>
      <c r="I1" s="424"/>
    </row>
    <row r="2" spans="1:9" x14ac:dyDescent="0.25">
      <c r="A2" s="424"/>
      <c r="B2" s="424"/>
      <c r="C2" s="424"/>
      <c r="D2" s="424"/>
      <c r="E2" s="424" t="s">
        <v>219</v>
      </c>
      <c r="F2" s="424"/>
      <c r="G2" s="424"/>
      <c r="H2" s="424"/>
      <c r="I2" s="424" t="s">
        <v>179</v>
      </c>
    </row>
    <row r="3" spans="1:9" x14ac:dyDescent="0.25">
      <c r="A3" s="424"/>
      <c r="B3" s="424"/>
      <c r="C3" s="424"/>
      <c r="D3" s="424"/>
      <c r="E3" s="424" t="s">
        <v>180</v>
      </c>
      <c r="F3" s="424"/>
      <c r="G3" s="424"/>
      <c r="H3" s="424" t="s">
        <v>181</v>
      </c>
      <c r="I3" s="424"/>
    </row>
    <row r="4" spans="1:9" x14ac:dyDescent="0.25">
      <c r="A4" s="424"/>
      <c r="B4" s="424"/>
      <c r="C4" s="424"/>
      <c r="D4" s="424"/>
      <c r="E4" s="164" t="str">
        <f>пп1!F4</f>
        <v>2021</v>
      </c>
      <c r="F4" s="227" t="str">
        <f>пп1!G4</f>
        <v>2022</v>
      </c>
      <c r="G4" s="227" t="str">
        <f>пп1!H4</f>
        <v>2023</v>
      </c>
      <c r="H4" s="424"/>
      <c r="I4" s="424"/>
    </row>
    <row r="5" spans="1:9" ht="72.75" hidden="1" customHeight="1" outlineLevel="1" x14ac:dyDescent="0.25">
      <c r="A5" s="168">
        <v>1</v>
      </c>
      <c r="B5" s="125" t="str">
        <f>'пр к ПП3'!B15</f>
        <v>Проведение мероприятий, направленных на обеспечение безопасного участия детей в дорожном движении</v>
      </c>
      <c r="C5" s="428" t="s">
        <v>222</v>
      </c>
      <c r="D5" s="424" t="s">
        <v>221</v>
      </c>
      <c r="E5" s="99">
        <f>E6+E7</f>
        <v>0</v>
      </c>
      <c r="F5" s="99">
        <f t="shared" ref="F5:G5" si="0">F6+F7</f>
        <v>0</v>
      </c>
      <c r="G5" s="99">
        <f t="shared" si="0"/>
        <v>0</v>
      </c>
      <c r="H5" s="99">
        <f>SUM(E5:G5)</f>
        <v>0</v>
      </c>
      <c r="I5" s="168"/>
    </row>
    <row r="6" spans="1:9" ht="101.25" hidden="1" customHeight="1" outlineLevel="1" x14ac:dyDescent="0.25">
      <c r="A6" s="168" t="s">
        <v>3</v>
      </c>
      <c r="B6" s="125" t="s">
        <v>236</v>
      </c>
      <c r="C6" s="428"/>
      <c r="D6" s="424"/>
      <c r="E6" s="99">
        <f>'пр к ПП3'!H15</f>
        <v>0</v>
      </c>
      <c r="F6" s="99">
        <f>'пр к ПП3'!I15</f>
        <v>0</v>
      </c>
      <c r="G6" s="99">
        <f>'пр к ПП3'!J15</f>
        <v>0</v>
      </c>
      <c r="H6" s="99">
        <f t="shared" ref="H6:H10" si="1">SUM(E6:G6)</f>
        <v>0</v>
      </c>
      <c r="I6" s="168" t="s">
        <v>191</v>
      </c>
    </row>
    <row r="7" spans="1:9" ht="93.75" hidden="1" customHeight="1" outlineLevel="1" x14ac:dyDescent="0.25">
      <c r="A7" s="168" t="s">
        <v>83</v>
      </c>
      <c r="B7" s="125" t="s">
        <v>237</v>
      </c>
      <c r="C7" s="428"/>
      <c r="D7" s="424"/>
      <c r="E7" s="99">
        <f>'пр к ПП3'!H16</f>
        <v>0</v>
      </c>
      <c r="F7" s="99">
        <f>'пр к ПП3'!I16</f>
        <v>0</v>
      </c>
      <c r="G7" s="99">
        <f>'пр к ПП3'!J16</f>
        <v>0</v>
      </c>
      <c r="H7" s="99">
        <f t="shared" si="1"/>
        <v>0</v>
      </c>
      <c r="I7" s="168" t="s">
        <v>184</v>
      </c>
    </row>
    <row r="8" spans="1:9" ht="38.25" customHeight="1" collapsed="1" x14ac:dyDescent="0.25">
      <c r="A8" s="425">
        <v>1</v>
      </c>
      <c r="B8" s="425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125" t="s">
        <v>190</v>
      </c>
      <c r="D8" s="425" t="s">
        <v>55</v>
      </c>
      <c r="E8" s="101">
        <f>E9+E10</f>
        <v>220.5</v>
      </c>
      <c r="F8" s="101">
        <f>'пр к ПП3'!I18</f>
        <v>378.6</v>
      </c>
      <c r="G8" s="101">
        <f>'пр к ПП3'!J18</f>
        <v>378.6</v>
      </c>
      <c r="H8" s="99">
        <f t="shared" si="1"/>
        <v>977.7</v>
      </c>
      <c r="I8" s="425" t="s">
        <v>191</v>
      </c>
    </row>
    <row r="9" spans="1:9" ht="30.75" customHeight="1" x14ac:dyDescent="0.25">
      <c r="A9" s="426"/>
      <c r="B9" s="426"/>
      <c r="C9" s="229" t="s">
        <v>188</v>
      </c>
      <c r="D9" s="426"/>
      <c r="E9" s="101">
        <v>88.2</v>
      </c>
      <c r="F9" s="101"/>
      <c r="G9" s="101"/>
      <c r="H9" s="99">
        <f t="shared" si="1"/>
        <v>88.2</v>
      </c>
      <c r="I9" s="426"/>
    </row>
    <row r="10" spans="1:9" ht="25.5" x14ac:dyDescent="0.25">
      <c r="A10" s="427"/>
      <c r="B10" s="427"/>
      <c r="C10" s="229" t="s">
        <v>187</v>
      </c>
      <c r="D10" s="427"/>
      <c r="E10" s="101">
        <v>132.30000000000001</v>
      </c>
      <c r="F10" s="101"/>
      <c r="G10" s="101"/>
      <c r="H10" s="99">
        <f t="shared" si="1"/>
        <v>132.30000000000001</v>
      </c>
      <c r="I10" s="427"/>
    </row>
    <row r="11" spans="1:9" ht="102" x14ac:dyDescent="0.25">
      <c r="A11" s="169">
        <v>2</v>
      </c>
      <c r="B11" s="149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170" t="s">
        <v>255</v>
      </c>
      <c r="D11" s="169" t="s">
        <v>257</v>
      </c>
      <c r="E11" s="101">
        <v>0</v>
      </c>
      <c r="F11" s="101">
        <v>0</v>
      </c>
      <c r="G11" s="101">
        <v>0</v>
      </c>
      <c r="H11" s="99">
        <v>0</v>
      </c>
      <c r="I11" s="169" t="s">
        <v>258</v>
      </c>
    </row>
    <row r="12" spans="1:9" s="60" customFormat="1" x14ac:dyDescent="0.25">
      <c r="A12" s="102"/>
      <c r="B12" s="103" t="s">
        <v>220</v>
      </c>
      <c r="C12" s="102" t="s">
        <v>30</v>
      </c>
      <c r="D12" s="102" t="s">
        <v>30</v>
      </c>
      <c r="E12" s="104">
        <f>E5+E8</f>
        <v>220.5</v>
      </c>
      <c r="F12" s="104">
        <f t="shared" ref="F12:H12" si="2">F5+F8</f>
        <v>378.6</v>
      </c>
      <c r="G12" s="104">
        <f t="shared" si="2"/>
        <v>378.6</v>
      </c>
      <c r="H12" s="104">
        <f t="shared" si="2"/>
        <v>977.7</v>
      </c>
      <c r="I12" s="102" t="s">
        <v>30</v>
      </c>
    </row>
    <row r="14" spans="1:9" x14ac:dyDescent="0.25">
      <c r="E14" s="180">
        <f>'пр к ПП3'!H24</f>
        <v>378.6</v>
      </c>
      <c r="F14" s="155">
        <f>'пр к ПП3'!I24</f>
        <v>378.6</v>
      </c>
      <c r="G14" s="155">
        <f>'пр к ПП3'!J24</f>
        <v>378.6</v>
      </c>
      <c r="H14">
        <f t="shared" ref="H14" si="3">SUM(E14:G14)</f>
        <v>1135.8000000000002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24" t="s">
        <v>19</v>
      </c>
      <c r="B1" s="424" t="s">
        <v>174</v>
      </c>
      <c r="C1" s="424" t="s">
        <v>175</v>
      </c>
      <c r="D1" s="424" t="s">
        <v>176</v>
      </c>
      <c r="E1" s="424" t="s">
        <v>177</v>
      </c>
      <c r="F1" s="424"/>
      <c r="G1" s="424"/>
      <c r="H1" s="424"/>
      <c r="I1" s="424"/>
    </row>
    <row r="2" spans="1:9" x14ac:dyDescent="0.25">
      <c r="A2" s="424"/>
      <c r="B2" s="424"/>
      <c r="C2" s="424"/>
      <c r="D2" s="424"/>
      <c r="E2" s="424" t="s">
        <v>219</v>
      </c>
      <c r="F2" s="424"/>
      <c r="G2" s="424"/>
      <c r="H2" s="424"/>
      <c r="I2" s="424" t="s">
        <v>179</v>
      </c>
    </row>
    <row r="3" spans="1:9" x14ac:dyDescent="0.25">
      <c r="A3" s="424"/>
      <c r="B3" s="424"/>
      <c r="C3" s="424"/>
      <c r="D3" s="424"/>
      <c r="E3" s="424" t="s">
        <v>180</v>
      </c>
      <c r="F3" s="424"/>
      <c r="G3" s="424"/>
      <c r="H3" s="424" t="s">
        <v>181</v>
      </c>
      <c r="I3" s="424"/>
    </row>
    <row r="4" spans="1:9" x14ac:dyDescent="0.25">
      <c r="A4" s="424"/>
      <c r="B4" s="424"/>
      <c r="C4" s="424"/>
      <c r="D4" s="424"/>
      <c r="E4" s="164">
        <v>2018</v>
      </c>
      <c r="F4" s="164">
        <v>2019</v>
      </c>
      <c r="G4" s="164">
        <v>2020</v>
      </c>
      <c r="H4" s="424"/>
      <c r="I4" s="424"/>
    </row>
    <row r="5" spans="1:9" ht="178.5" customHeight="1" x14ac:dyDescent="0.25">
      <c r="A5" s="168">
        <v>1</v>
      </c>
      <c r="B5" s="173" t="s">
        <v>238</v>
      </c>
      <c r="C5" s="125" t="s">
        <v>222</v>
      </c>
      <c r="D5" s="168" t="s">
        <v>183</v>
      </c>
      <c r="E5" s="100">
        <f>'пр к ПП4'!H15/1000</f>
        <v>10.6</v>
      </c>
      <c r="F5" s="100">
        <f>'пр к ПП4'!I15/1000</f>
        <v>10.6</v>
      </c>
      <c r="G5" s="100">
        <f>'пр к ПП4'!J15/1000</f>
        <v>10.6</v>
      </c>
      <c r="H5" s="99">
        <f t="shared" ref="H5" si="0">SUM(E5:G5)</f>
        <v>31.799999999999997</v>
      </c>
      <c r="I5" s="168" t="s">
        <v>184</v>
      </c>
    </row>
    <row r="6" spans="1:9" ht="106.5" customHeight="1" x14ac:dyDescent="0.25">
      <c r="A6" s="429">
        <v>2</v>
      </c>
      <c r="B6" s="175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30" t="s">
        <v>192</v>
      </c>
      <c r="D6" s="408" t="s">
        <v>183</v>
      </c>
      <c r="E6" s="172">
        <f>E7+E8</f>
        <v>0</v>
      </c>
      <c r="F6" s="178">
        <f t="shared" ref="F6:H6" si="1">F7+F8</f>
        <v>0</v>
      </c>
      <c r="G6" s="178">
        <f t="shared" si="1"/>
        <v>0</v>
      </c>
      <c r="H6" s="172">
        <f t="shared" si="1"/>
        <v>0</v>
      </c>
      <c r="I6" s="171"/>
    </row>
    <row r="7" spans="1:9" ht="25.5" x14ac:dyDescent="0.25">
      <c r="A7" s="429"/>
      <c r="B7" s="176" t="s">
        <v>249</v>
      </c>
      <c r="C7" s="430"/>
      <c r="D7" s="408"/>
      <c r="E7" s="164">
        <f>'пр к ПП4'!H17/1000</f>
        <v>0</v>
      </c>
      <c r="F7" s="178">
        <v>0</v>
      </c>
      <c r="G7" s="178">
        <v>0</v>
      </c>
      <c r="H7" s="164">
        <f>'пр к ПП4'!K17/1000</f>
        <v>0</v>
      </c>
      <c r="I7" s="164" t="s">
        <v>191</v>
      </c>
    </row>
    <row r="8" spans="1:9" ht="25.5" x14ac:dyDescent="0.25">
      <c r="A8" s="429"/>
      <c r="B8" s="177"/>
      <c r="C8" s="430"/>
      <c r="D8" s="408"/>
      <c r="E8" s="172">
        <f>'пр к ПП4'!H18/1000</f>
        <v>0</v>
      </c>
      <c r="F8" s="178">
        <v>0</v>
      </c>
      <c r="G8" s="178">
        <v>0</v>
      </c>
      <c r="H8" s="172">
        <f>'пр к ПП4'!K18/1000</f>
        <v>0</v>
      </c>
      <c r="I8" s="164" t="s">
        <v>184</v>
      </c>
    </row>
    <row r="9" spans="1:9" ht="25.5" x14ac:dyDescent="0.25">
      <c r="A9" s="102"/>
      <c r="B9" s="174" t="s">
        <v>220</v>
      </c>
      <c r="C9" s="102" t="s">
        <v>30</v>
      </c>
      <c r="D9" s="102" t="s">
        <v>30</v>
      </c>
      <c r="E9" s="104">
        <f>E5+E6</f>
        <v>10.6</v>
      </c>
      <c r="F9" s="104">
        <f t="shared" ref="F9:H9" si="2">F5+F6</f>
        <v>10.6</v>
      </c>
      <c r="G9" s="104">
        <f t="shared" si="2"/>
        <v>10.6</v>
      </c>
      <c r="H9" s="104">
        <f t="shared" si="2"/>
        <v>31.799999999999997</v>
      </c>
      <c r="I9" s="102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BreakPreview" topLeftCell="A4" zoomScale="85" zoomScaleNormal="70" zoomScaleSheetLayoutView="85" workbookViewId="0">
      <selection activeCell="E16" sqref="E16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hidden="1" customHeight="1" x14ac:dyDescent="0.25">
      <c r="F1" s="335"/>
      <c r="G1" s="335"/>
      <c r="H1" s="335"/>
    </row>
    <row r="2" spans="1:8" hidden="1" x14ac:dyDescent="0.25"/>
    <row r="3" spans="1:8" hidden="1" x14ac:dyDescent="0.25"/>
    <row r="4" spans="1:8" ht="130.5" customHeight="1" x14ac:dyDescent="0.25">
      <c r="F4" s="336" t="s">
        <v>199</v>
      </c>
      <c r="G4" s="336"/>
      <c r="H4" s="336"/>
    </row>
    <row r="5" spans="1:8" ht="18.75" x14ac:dyDescent="0.25">
      <c r="A5" s="9"/>
    </row>
    <row r="6" spans="1:8" ht="18.75" x14ac:dyDescent="0.25">
      <c r="A6" s="9"/>
    </row>
    <row r="7" spans="1:8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ht="18.75" x14ac:dyDescent="0.25">
      <c r="A8" s="342" t="s">
        <v>96</v>
      </c>
      <c r="B8" s="339"/>
      <c r="C8" s="339"/>
      <c r="D8" s="339"/>
      <c r="E8" s="339"/>
      <c r="F8" s="339"/>
      <c r="G8" s="339"/>
      <c r="H8" s="339"/>
    </row>
    <row r="9" spans="1:8" ht="36" customHeight="1" x14ac:dyDescent="0.25">
      <c r="A9" s="342" t="s">
        <v>95</v>
      </c>
      <c r="B9" s="339"/>
      <c r="C9" s="339"/>
      <c r="D9" s="339"/>
      <c r="E9" s="339"/>
      <c r="F9" s="339"/>
      <c r="G9" s="339"/>
      <c r="H9" s="339"/>
    </row>
    <row r="10" spans="1:8" ht="13.5" customHeight="1" x14ac:dyDescent="0.25">
      <c r="A10" s="9"/>
    </row>
    <row r="11" spans="1:8" x14ac:dyDescent="0.25">
      <c r="A11" s="326" t="s">
        <v>19</v>
      </c>
      <c r="B11" s="326" t="s">
        <v>46</v>
      </c>
      <c r="C11" s="326" t="s">
        <v>2</v>
      </c>
      <c r="D11" s="326" t="s">
        <v>47</v>
      </c>
      <c r="E11" s="326" t="s">
        <v>48</v>
      </c>
      <c r="F11" s="326"/>
      <c r="G11" s="326"/>
      <c r="H11" s="326"/>
    </row>
    <row r="12" spans="1:8" x14ac:dyDescent="0.25">
      <c r="A12" s="326"/>
      <c r="B12" s="326"/>
      <c r="C12" s="326"/>
      <c r="D12" s="326"/>
      <c r="E12" s="305">
        <v>2020</v>
      </c>
      <c r="F12" s="193">
        <v>2021</v>
      </c>
      <c r="G12" s="193">
        <v>2022</v>
      </c>
      <c r="H12" s="193">
        <v>2023</v>
      </c>
    </row>
    <row r="13" spans="1:8" x14ac:dyDescent="0.25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  <c r="G13" s="85">
        <v>7</v>
      </c>
      <c r="H13" s="85">
        <v>8</v>
      </c>
    </row>
    <row r="14" spans="1:8" ht="50.25" customHeight="1" x14ac:dyDescent="0.25">
      <c r="A14" s="341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41"/>
      <c r="C14" s="341"/>
      <c r="D14" s="341"/>
      <c r="E14" s="341"/>
      <c r="F14" s="341"/>
      <c r="G14" s="341"/>
      <c r="H14" s="341"/>
    </row>
    <row r="15" spans="1:8" ht="33" customHeight="1" x14ac:dyDescent="0.25">
      <c r="A15" s="341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341"/>
      <c r="C15" s="341"/>
      <c r="D15" s="341"/>
      <c r="E15" s="341"/>
      <c r="F15" s="341"/>
      <c r="G15" s="341"/>
      <c r="H15" s="341"/>
    </row>
    <row r="16" spans="1:8" ht="47.25" x14ac:dyDescent="0.25">
      <c r="A16" s="88" t="s">
        <v>3</v>
      </c>
      <c r="B16" s="87" t="s">
        <v>68</v>
      </c>
      <c r="C16" s="88" t="s">
        <v>69</v>
      </c>
      <c r="D16" s="88" t="s">
        <v>70</v>
      </c>
      <c r="E16" s="264">
        <v>2.68</v>
      </c>
      <c r="F16" s="264">
        <v>2.68</v>
      </c>
      <c r="G16" s="264">
        <v>2.68</v>
      </c>
      <c r="H16" s="264">
        <v>2.68</v>
      </c>
    </row>
    <row r="17" spans="1:11" ht="47.25" x14ac:dyDescent="0.25">
      <c r="A17" s="88" t="s">
        <v>83</v>
      </c>
      <c r="B17" s="87" t="s">
        <v>71</v>
      </c>
      <c r="C17" s="88" t="s">
        <v>69</v>
      </c>
      <c r="D17" s="88" t="s">
        <v>72</v>
      </c>
      <c r="E17" s="213" t="str">
        <f t="shared" ref="E17:E18" si="0">D17</f>
        <v>отчетность организаций</v>
      </c>
      <c r="F17" s="213" t="str">
        <f t="shared" ref="F17:F18" si="1">E17</f>
        <v>отчетность организаций</v>
      </c>
      <c r="G17" s="213" t="str">
        <f t="shared" ref="G17:G18" si="2">F17</f>
        <v>отчетность организаций</v>
      </c>
      <c r="H17" s="213" t="str">
        <f t="shared" ref="H17:H18" si="3">G17</f>
        <v>отчетность организаций</v>
      </c>
    </row>
    <row r="18" spans="1:11" ht="31.5" x14ac:dyDescent="0.25">
      <c r="A18" s="88" t="s">
        <v>85</v>
      </c>
      <c r="B18" s="87" t="s">
        <v>75</v>
      </c>
      <c r="C18" s="88" t="s">
        <v>73</v>
      </c>
      <c r="D18" s="88" t="s">
        <v>74</v>
      </c>
      <c r="E18" s="215" t="str">
        <f t="shared" si="0"/>
        <v>отчетность исполнителя</v>
      </c>
      <c r="F18" s="215" t="str">
        <f t="shared" si="1"/>
        <v>отчетность исполнителя</v>
      </c>
      <c r="G18" s="215" t="str">
        <f t="shared" si="2"/>
        <v>отчетность исполнителя</v>
      </c>
      <c r="H18" s="215" t="str">
        <f t="shared" si="3"/>
        <v>отчетность исполнителя</v>
      </c>
    </row>
    <row r="19" spans="1:11" ht="18.75" x14ac:dyDescent="0.25">
      <c r="A19" s="9"/>
    </row>
    <row r="20" spans="1:11" ht="18.75" x14ac:dyDescent="0.25">
      <c r="A20" s="9"/>
    </row>
    <row r="21" spans="1:11" ht="18.75" x14ac:dyDescent="0.25">
      <c r="A21" s="9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45"/>
  <sheetViews>
    <sheetView view="pageBreakPreview" topLeftCell="B4" zoomScale="70" zoomScaleNormal="55" zoomScaleSheetLayoutView="70" workbookViewId="0">
      <selection activeCell="E16" sqref="E16"/>
    </sheetView>
  </sheetViews>
  <sheetFormatPr defaultRowHeight="18.75" outlineLevelRow="1" x14ac:dyDescent="0.25"/>
  <cols>
    <col min="1" max="1" width="4.75" style="189" customWidth="1"/>
    <col min="2" max="2" width="49.625" style="21" customWidth="1"/>
    <col min="3" max="3" width="25.125" style="21" customWidth="1"/>
    <col min="4" max="5" width="7.375" style="21" customWidth="1"/>
    <col min="6" max="6" width="17.75" style="21" customWidth="1"/>
    <col min="7" max="7" width="5.75" style="21" customWidth="1"/>
    <col min="8" max="8" width="14.875" style="21" bestFit="1" customWidth="1"/>
    <col min="9" max="10" width="13.75" style="21" bestFit="1" customWidth="1"/>
    <col min="11" max="11" width="20" style="21" customWidth="1"/>
    <col min="12" max="12" width="24.5" style="21" customWidth="1"/>
    <col min="13" max="13" width="57.625" style="21" customWidth="1"/>
    <col min="14" max="14" width="24" style="21" customWidth="1"/>
    <col min="15" max="16384" width="9" style="21"/>
  </cols>
  <sheetData>
    <row r="1" spans="1:12" ht="84" hidden="1" customHeight="1" outlineLevel="1" x14ac:dyDescent="0.3">
      <c r="K1" s="352" t="s">
        <v>250</v>
      </c>
      <c r="L1" s="352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K4" s="353" t="s">
        <v>200</v>
      </c>
      <c r="L4" s="353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63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10" spans="1:12" ht="42.75" customHeight="1" x14ac:dyDescent="0.25">
      <c r="A10" s="332" t="s">
        <v>19</v>
      </c>
      <c r="B10" s="332" t="s">
        <v>49</v>
      </c>
      <c r="C10" s="332" t="s">
        <v>223</v>
      </c>
      <c r="D10" s="332" t="s">
        <v>23</v>
      </c>
      <c r="E10" s="332"/>
      <c r="F10" s="332"/>
      <c r="G10" s="332"/>
      <c r="H10" s="332" t="s">
        <v>50</v>
      </c>
      <c r="I10" s="332"/>
      <c r="J10" s="332"/>
      <c r="K10" s="332"/>
      <c r="L10" s="332" t="s">
        <v>51</v>
      </c>
    </row>
    <row r="11" spans="1:12" ht="77.25" customHeight="1" x14ac:dyDescent="0.25">
      <c r="A11" s="332"/>
      <c r="B11" s="332"/>
      <c r="C11" s="332"/>
      <c r="D11" s="188" t="s">
        <v>25</v>
      </c>
      <c r="E11" s="188" t="s">
        <v>26</v>
      </c>
      <c r="F11" s="188" t="s">
        <v>27</v>
      </c>
      <c r="G11" s="188" t="s">
        <v>28</v>
      </c>
      <c r="H11" s="313">
        <v>2021</v>
      </c>
      <c r="I11" s="313">
        <v>2022</v>
      </c>
      <c r="J11" s="313">
        <v>2023</v>
      </c>
      <c r="K11" s="312" t="s">
        <v>52</v>
      </c>
      <c r="L11" s="332"/>
    </row>
    <row r="12" spans="1:12" x14ac:dyDescent="0.25">
      <c r="A12" s="188">
        <v>1</v>
      </c>
      <c r="B12" s="188">
        <v>2</v>
      </c>
      <c r="C12" s="188">
        <v>3</v>
      </c>
      <c r="D12" s="188">
        <v>4</v>
      </c>
      <c r="E12" s="188">
        <v>5</v>
      </c>
      <c r="F12" s="188">
        <v>6</v>
      </c>
      <c r="G12" s="188">
        <v>7</v>
      </c>
      <c r="H12" s="312">
        <v>8</v>
      </c>
      <c r="I12" s="312">
        <v>9</v>
      </c>
      <c r="J12" s="312">
        <v>10</v>
      </c>
      <c r="K12" s="312">
        <v>11</v>
      </c>
      <c r="L12" s="188">
        <v>12</v>
      </c>
    </row>
    <row r="13" spans="1:12" s="112" customFormat="1" ht="41.25" customHeight="1" x14ac:dyDescent="0.25">
      <c r="A13" s="351" t="s">
        <v>165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2" s="112" customFormat="1" ht="19.5" customHeight="1" x14ac:dyDescent="0.25">
      <c r="A14" s="351" t="s">
        <v>166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ht="63" x14ac:dyDescent="0.25">
      <c r="A15" s="348" t="s">
        <v>3</v>
      </c>
      <c r="B15" s="346" t="s">
        <v>217</v>
      </c>
      <c r="C15" s="254" t="s">
        <v>66</v>
      </c>
      <c r="D15" s="226">
        <v>247</v>
      </c>
      <c r="E15" s="226" t="s">
        <v>62</v>
      </c>
      <c r="F15" s="138" t="s">
        <v>224</v>
      </c>
      <c r="G15" s="241">
        <v>540</v>
      </c>
      <c r="H15" s="252">
        <v>28494.5</v>
      </c>
      <c r="I15" s="252">
        <v>29634.3</v>
      </c>
      <c r="J15" s="252">
        <v>30819.7</v>
      </c>
      <c r="K15" s="315">
        <f t="shared" ref="K15:K23" si="0">SUM(H15:J15)</f>
        <v>88948.5</v>
      </c>
      <c r="L15" s="343" t="s">
        <v>133</v>
      </c>
    </row>
    <row r="16" spans="1:12" x14ac:dyDescent="0.25">
      <c r="A16" s="349"/>
      <c r="B16" s="347"/>
      <c r="C16" s="259" t="s">
        <v>265</v>
      </c>
      <c r="D16" s="123" t="s">
        <v>30</v>
      </c>
      <c r="E16" s="123" t="s">
        <v>30</v>
      </c>
      <c r="F16" s="123" t="s">
        <v>30</v>
      </c>
      <c r="G16" s="118" t="s">
        <v>30</v>
      </c>
      <c r="H16" s="124">
        <f t="shared" ref="H16" si="1">H15</f>
        <v>28494.5</v>
      </c>
      <c r="I16" s="124">
        <f t="shared" ref="I16:J16" si="2">I15</f>
        <v>29634.3</v>
      </c>
      <c r="J16" s="124">
        <f t="shared" si="2"/>
        <v>30819.7</v>
      </c>
      <c r="K16" s="124">
        <f t="shared" si="0"/>
        <v>88948.5</v>
      </c>
      <c r="L16" s="344"/>
    </row>
    <row r="17" spans="1:18" ht="63" x14ac:dyDescent="0.25">
      <c r="A17" s="348" t="s">
        <v>83</v>
      </c>
      <c r="B17" s="346" t="s">
        <v>216</v>
      </c>
      <c r="C17" s="254" t="s">
        <v>66</v>
      </c>
      <c r="D17" s="226">
        <v>247</v>
      </c>
      <c r="E17" s="226" t="s">
        <v>62</v>
      </c>
      <c r="F17" s="138" t="s">
        <v>225</v>
      </c>
      <c r="G17" s="241">
        <v>540</v>
      </c>
      <c r="H17" s="252">
        <v>15130.7</v>
      </c>
      <c r="I17" s="252">
        <v>15130.7</v>
      </c>
      <c r="J17" s="252">
        <v>15130.7</v>
      </c>
      <c r="K17" s="315">
        <f t="shared" si="0"/>
        <v>45392.100000000006</v>
      </c>
      <c r="L17" s="344"/>
    </row>
    <row r="18" spans="1:18" x14ac:dyDescent="0.25">
      <c r="A18" s="349"/>
      <c r="B18" s="347"/>
      <c r="C18" s="259" t="s">
        <v>265</v>
      </c>
      <c r="D18" s="123" t="s">
        <v>30</v>
      </c>
      <c r="E18" s="123" t="s">
        <v>30</v>
      </c>
      <c r="F18" s="123" t="s">
        <v>30</v>
      </c>
      <c r="G18" s="123" t="s">
        <v>30</v>
      </c>
      <c r="H18" s="124">
        <f t="shared" ref="H18" si="3">H17</f>
        <v>15130.7</v>
      </c>
      <c r="I18" s="124">
        <f t="shared" ref="I18:J18" si="4">I17</f>
        <v>15130.7</v>
      </c>
      <c r="J18" s="124">
        <f t="shared" si="4"/>
        <v>15130.7</v>
      </c>
      <c r="K18" s="124">
        <f t="shared" si="0"/>
        <v>45392.100000000006</v>
      </c>
      <c r="L18" s="345"/>
      <c r="N18" s="21">
        <v>2019</v>
      </c>
      <c r="O18" s="21">
        <v>2020</v>
      </c>
      <c r="P18" s="21">
        <v>21</v>
      </c>
      <c r="Q18" s="21">
        <v>22</v>
      </c>
      <c r="R18" s="21">
        <v>23</v>
      </c>
    </row>
    <row r="19" spans="1:18" ht="47.25" customHeight="1" x14ac:dyDescent="0.25">
      <c r="A19" s="343" t="s">
        <v>85</v>
      </c>
      <c r="B19" s="346" t="s">
        <v>106</v>
      </c>
      <c r="C19" s="254" t="s">
        <v>94</v>
      </c>
      <c r="D19" s="226">
        <v>242</v>
      </c>
      <c r="E19" s="332" t="s">
        <v>62</v>
      </c>
      <c r="F19" s="354" t="s">
        <v>267</v>
      </c>
      <c r="G19" s="332">
        <v>244</v>
      </c>
      <c r="H19" s="252">
        <v>1650.83</v>
      </c>
      <c r="I19" s="252">
        <v>1650.83</v>
      </c>
      <c r="J19" s="252">
        <v>1650.83</v>
      </c>
      <c r="K19" s="72">
        <f t="shared" si="0"/>
        <v>4952.49</v>
      </c>
      <c r="L19" s="343" t="s">
        <v>133</v>
      </c>
      <c r="M19" s="21" t="s">
        <v>337</v>
      </c>
      <c r="N19" s="21">
        <v>4174.3</v>
      </c>
      <c r="O19" s="21">
        <v>1650.8</v>
      </c>
      <c r="P19" s="21">
        <v>1650.8</v>
      </c>
      <c r="Q19" s="21">
        <v>1650.8</v>
      </c>
      <c r="R19" s="21">
        <v>1650.8</v>
      </c>
    </row>
    <row r="20" spans="1:18" ht="63" x14ac:dyDescent="0.25">
      <c r="A20" s="344"/>
      <c r="B20" s="350"/>
      <c r="C20" s="254" t="s">
        <v>66</v>
      </c>
      <c r="D20" s="226">
        <v>247</v>
      </c>
      <c r="E20" s="332"/>
      <c r="F20" s="355"/>
      <c r="G20" s="332"/>
      <c r="H20" s="252">
        <v>4000</v>
      </c>
      <c r="I20" s="252">
        <v>4000</v>
      </c>
      <c r="J20" s="252">
        <v>4000</v>
      </c>
      <c r="K20" s="315">
        <f>SUM(H20:J20)</f>
        <v>12000</v>
      </c>
      <c r="L20" s="344"/>
      <c r="N20" s="105"/>
    </row>
    <row r="21" spans="1:18" x14ac:dyDescent="0.25">
      <c r="A21" s="345"/>
      <c r="B21" s="347"/>
      <c r="C21" s="259" t="s">
        <v>265</v>
      </c>
      <c r="D21" s="123" t="s">
        <v>30</v>
      </c>
      <c r="E21" s="123" t="s">
        <v>30</v>
      </c>
      <c r="F21" s="123" t="s">
        <v>30</v>
      </c>
      <c r="G21" s="123" t="s">
        <v>30</v>
      </c>
      <c r="H21" s="124">
        <f t="shared" ref="H21" si="5">H19+H20</f>
        <v>5650.83</v>
      </c>
      <c r="I21" s="124">
        <f t="shared" ref="I21:J21" si="6">I19+I20</f>
        <v>5650.83</v>
      </c>
      <c r="J21" s="124">
        <f t="shared" si="6"/>
        <v>5650.83</v>
      </c>
      <c r="K21" s="124">
        <f t="shared" si="0"/>
        <v>16952.489999999998</v>
      </c>
      <c r="L21" s="345"/>
      <c r="N21" s="105"/>
    </row>
    <row r="22" spans="1:18" s="23" customFormat="1" ht="70.5" customHeight="1" x14ac:dyDescent="0.25">
      <c r="A22" s="343" t="s">
        <v>86</v>
      </c>
      <c r="B22" s="346" t="s">
        <v>107</v>
      </c>
      <c r="C22" s="254" t="s">
        <v>66</v>
      </c>
      <c r="D22" s="226">
        <v>247</v>
      </c>
      <c r="E22" s="226" t="s">
        <v>62</v>
      </c>
      <c r="F22" s="138" t="s">
        <v>268</v>
      </c>
      <c r="G22" s="241">
        <v>540</v>
      </c>
      <c r="H22" s="252">
        <v>2238.7550000000001</v>
      </c>
      <c r="I22" s="252">
        <v>2238.7550000000001</v>
      </c>
      <c r="J22" s="252">
        <v>2238.7550000000001</v>
      </c>
      <c r="K22" s="315">
        <f t="shared" si="0"/>
        <v>6716.2650000000003</v>
      </c>
      <c r="L22" s="343" t="s">
        <v>132</v>
      </c>
      <c r="N22" s="320">
        <f>H15+H17+H24</f>
        <v>43625.2</v>
      </c>
    </row>
    <row r="23" spans="1:18" s="23" customFormat="1" x14ac:dyDescent="0.25">
      <c r="A23" s="345"/>
      <c r="B23" s="347"/>
      <c r="C23" s="259" t="s">
        <v>265</v>
      </c>
      <c r="D23" s="123" t="s">
        <v>30</v>
      </c>
      <c r="E23" s="123" t="s">
        <v>30</v>
      </c>
      <c r="F23" s="123" t="s">
        <v>30</v>
      </c>
      <c r="G23" s="123" t="s">
        <v>30</v>
      </c>
      <c r="H23" s="124">
        <f t="shared" ref="H23" si="7">H22</f>
        <v>2238.7550000000001</v>
      </c>
      <c r="I23" s="124">
        <f t="shared" ref="I23:J23" si="8">I22</f>
        <v>2238.7550000000001</v>
      </c>
      <c r="J23" s="124">
        <f t="shared" si="8"/>
        <v>2238.7550000000001</v>
      </c>
      <c r="K23" s="124">
        <f t="shared" si="0"/>
        <v>6716.2650000000003</v>
      </c>
      <c r="L23" s="345"/>
      <c r="N23" s="320">
        <f>H19+H20+H22+H25+H27+H31</f>
        <v>20339.584999999999</v>
      </c>
    </row>
    <row r="24" spans="1:18" s="23" customFormat="1" ht="34.5" customHeight="1" x14ac:dyDescent="0.25">
      <c r="A24" s="343" t="s">
        <v>244</v>
      </c>
      <c r="B24" s="346" t="s">
        <v>273</v>
      </c>
      <c r="C24" s="346" t="s">
        <v>66</v>
      </c>
      <c r="D24" s="343">
        <v>247</v>
      </c>
      <c r="E24" s="343" t="s">
        <v>62</v>
      </c>
      <c r="F24" s="138" t="s">
        <v>274</v>
      </c>
      <c r="G24" s="343">
        <v>244</v>
      </c>
      <c r="H24" s="71">
        <v>0</v>
      </c>
      <c r="I24" s="71">
        <v>0</v>
      </c>
      <c r="J24" s="71">
        <v>0</v>
      </c>
      <c r="K24" s="72">
        <f t="shared" ref="K24:K26" si="9">SUM(H24:J24)</f>
        <v>0</v>
      </c>
      <c r="L24" s="343" t="s">
        <v>133</v>
      </c>
      <c r="N24" s="320">
        <f>N23+N22</f>
        <v>63964.784999999996</v>
      </c>
    </row>
    <row r="25" spans="1:18" s="23" customFormat="1" ht="34.5" customHeight="1" x14ac:dyDescent="0.25">
      <c r="A25" s="344"/>
      <c r="B25" s="350"/>
      <c r="C25" s="347"/>
      <c r="D25" s="345"/>
      <c r="E25" s="345"/>
      <c r="F25" s="138" t="s">
        <v>275</v>
      </c>
      <c r="G25" s="345"/>
      <c r="H25" s="71">
        <v>0</v>
      </c>
      <c r="I25" s="71">
        <v>0</v>
      </c>
      <c r="J25" s="71">
        <v>0</v>
      </c>
      <c r="K25" s="72">
        <f t="shared" si="9"/>
        <v>0</v>
      </c>
      <c r="L25" s="344"/>
    </row>
    <row r="26" spans="1:18" s="23" customFormat="1" x14ac:dyDescent="0.25">
      <c r="A26" s="345"/>
      <c r="B26" s="347"/>
      <c r="C26" s="259" t="s">
        <v>265</v>
      </c>
      <c r="D26" s="123" t="s">
        <v>30</v>
      </c>
      <c r="E26" s="123" t="s">
        <v>30</v>
      </c>
      <c r="F26" s="123" t="s">
        <v>30</v>
      </c>
      <c r="G26" s="123" t="s">
        <v>30</v>
      </c>
      <c r="H26" s="124">
        <f>SUM(H24:H25)</f>
        <v>0</v>
      </c>
      <c r="I26" s="124">
        <f t="shared" ref="I26:J26" si="10">SUM(I24:I25)</f>
        <v>0</v>
      </c>
      <c r="J26" s="124">
        <f t="shared" si="10"/>
        <v>0</v>
      </c>
      <c r="K26" s="124">
        <f t="shared" si="9"/>
        <v>0</v>
      </c>
      <c r="L26" s="345"/>
    </row>
    <row r="27" spans="1:18" s="23" customFormat="1" ht="71.25" customHeight="1" x14ac:dyDescent="0.25">
      <c r="A27" s="343" t="s">
        <v>264</v>
      </c>
      <c r="B27" s="346" t="s">
        <v>272</v>
      </c>
      <c r="C27" s="254" t="s">
        <v>66</v>
      </c>
      <c r="D27" s="226">
        <v>247</v>
      </c>
      <c r="E27" s="226" t="s">
        <v>62</v>
      </c>
      <c r="F27" s="138" t="s">
        <v>269</v>
      </c>
      <c r="G27" s="241">
        <v>244</v>
      </c>
      <c r="H27" s="252">
        <v>12450</v>
      </c>
      <c r="I27" s="252">
        <v>12450</v>
      </c>
      <c r="J27" s="252">
        <v>12450</v>
      </c>
      <c r="K27" s="315">
        <f t="shared" ref="K27:K28" si="11">SUM(H27:J27)</f>
        <v>37350</v>
      </c>
      <c r="L27" s="343" t="s">
        <v>266</v>
      </c>
    </row>
    <row r="28" spans="1:18" s="23" customFormat="1" x14ac:dyDescent="0.25">
      <c r="A28" s="345"/>
      <c r="B28" s="347"/>
      <c r="C28" s="259" t="s">
        <v>265</v>
      </c>
      <c r="D28" s="123" t="s">
        <v>30</v>
      </c>
      <c r="E28" s="123" t="s">
        <v>30</v>
      </c>
      <c r="F28" s="123" t="s">
        <v>30</v>
      </c>
      <c r="G28" s="123" t="s">
        <v>30</v>
      </c>
      <c r="H28" s="124">
        <f t="shared" ref="H28:J28" si="12">H27</f>
        <v>12450</v>
      </c>
      <c r="I28" s="124">
        <f t="shared" si="12"/>
        <v>12450</v>
      </c>
      <c r="J28" s="124">
        <f t="shared" si="12"/>
        <v>12450</v>
      </c>
      <c r="K28" s="124">
        <f t="shared" si="11"/>
        <v>37350</v>
      </c>
      <c r="L28" s="345"/>
    </row>
    <row r="29" spans="1:18" s="23" customFormat="1" ht="69.75" customHeight="1" outlineLevel="1" x14ac:dyDescent="0.25">
      <c r="A29" s="343" t="s">
        <v>271</v>
      </c>
      <c r="B29" s="346" t="s">
        <v>270</v>
      </c>
      <c r="C29" s="254" t="s">
        <v>66</v>
      </c>
      <c r="D29" s="224">
        <v>247</v>
      </c>
      <c r="E29" s="224" t="s">
        <v>62</v>
      </c>
      <c r="F29" s="263"/>
      <c r="G29" s="241">
        <v>244</v>
      </c>
      <c r="H29" s="71">
        <v>0</v>
      </c>
      <c r="I29" s="71">
        <v>0</v>
      </c>
      <c r="J29" s="71">
        <v>0</v>
      </c>
      <c r="K29" s="72">
        <f t="shared" ref="K29:K30" si="13">SUM(H29:J29)</f>
        <v>0</v>
      </c>
      <c r="L29" s="225"/>
    </row>
    <row r="30" spans="1:18" s="23" customFormat="1" outlineLevel="1" x14ac:dyDescent="0.25">
      <c r="A30" s="345"/>
      <c r="B30" s="347"/>
      <c r="C30" s="259" t="s">
        <v>265</v>
      </c>
      <c r="D30" s="123" t="s">
        <v>30</v>
      </c>
      <c r="E30" s="123" t="s">
        <v>30</v>
      </c>
      <c r="F30" s="123" t="s">
        <v>30</v>
      </c>
      <c r="G30" s="123" t="s">
        <v>30</v>
      </c>
      <c r="H30" s="124">
        <f t="shared" ref="H30:J32" si="14">H29</f>
        <v>0</v>
      </c>
      <c r="I30" s="124">
        <f t="shared" si="14"/>
        <v>0</v>
      </c>
      <c r="J30" s="124">
        <f t="shared" si="14"/>
        <v>0</v>
      </c>
      <c r="K30" s="124">
        <f t="shared" si="13"/>
        <v>0</v>
      </c>
      <c r="L30" s="225"/>
    </row>
    <row r="31" spans="1:18" s="23" customFormat="1" ht="63" outlineLevel="1" x14ac:dyDescent="0.25">
      <c r="A31" s="255" t="s">
        <v>295</v>
      </c>
      <c r="B31" s="260" t="s">
        <v>308</v>
      </c>
      <c r="C31" s="261" t="s">
        <v>66</v>
      </c>
      <c r="D31" s="262" t="s">
        <v>294</v>
      </c>
      <c r="E31" s="262" t="s">
        <v>62</v>
      </c>
      <c r="F31" s="262" t="s">
        <v>309</v>
      </c>
      <c r="G31" s="262" t="s">
        <v>292</v>
      </c>
      <c r="H31" s="252">
        <v>0</v>
      </c>
      <c r="I31" s="252"/>
      <c r="J31" s="252"/>
      <c r="K31" s="252"/>
      <c r="L31" s="255"/>
    </row>
    <row r="32" spans="1:18" s="23" customFormat="1" outlineLevel="1" x14ac:dyDescent="0.25">
      <c r="A32" s="255"/>
      <c r="B32" s="256"/>
      <c r="C32" s="123" t="s">
        <v>265</v>
      </c>
      <c r="D32" s="123" t="s">
        <v>30</v>
      </c>
      <c r="E32" s="123" t="s">
        <v>30</v>
      </c>
      <c r="F32" s="123" t="s">
        <v>30</v>
      </c>
      <c r="G32" s="123" t="s">
        <v>30</v>
      </c>
      <c r="H32" s="124">
        <f t="shared" si="14"/>
        <v>0</v>
      </c>
      <c r="I32" s="124">
        <f t="shared" si="14"/>
        <v>0</v>
      </c>
      <c r="J32" s="124">
        <f t="shared" si="14"/>
        <v>0</v>
      </c>
      <c r="K32" s="124">
        <f t="shared" ref="K32" si="15">SUM(H32:J32)</f>
        <v>0</v>
      </c>
      <c r="L32" s="255"/>
    </row>
    <row r="33" spans="1:12" s="113" customFormat="1" x14ac:dyDescent="0.25">
      <c r="A33" s="119"/>
      <c r="B33" s="120" t="s">
        <v>119</v>
      </c>
      <c r="C33" s="119" t="s">
        <v>30</v>
      </c>
      <c r="D33" s="119" t="s">
        <v>30</v>
      </c>
      <c r="E33" s="119" t="s">
        <v>30</v>
      </c>
      <c r="F33" s="119" t="s">
        <v>30</v>
      </c>
      <c r="G33" s="119" t="s">
        <v>30</v>
      </c>
      <c r="H33" s="121">
        <f>H16+H18+H21+H23+H26+H28+H30+H32</f>
        <v>63964.784999999996</v>
      </c>
      <c r="I33" s="121">
        <f t="shared" ref="I33:K33" si="16">I16+I18+I21+I23+I26+I28+I30+I32</f>
        <v>65104.584999999999</v>
      </c>
      <c r="J33" s="121">
        <f t="shared" si="16"/>
        <v>66289.985000000001</v>
      </c>
      <c r="K33" s="121">
        <f t="shared" si="16"/>
        <v>195359.35500000001</v>
      </c>
      <c r="L33" s="119" t="s">
        <v>30</v>
      </c>
    </row>
    <row r="34" spans="1:12" s="23" customFormat="1" x14ac:dyDescent="0.25">
      <c r="A34" s="24"/>
    </row>
    <row r="35" spans="1:12" x14ac:dyDescent="0.25">
      <c r="H35" s="246">
        <f>H16+H21+H23+H28</f>
        <v>48834.084999999999</v>
      </c>
    </row>
    <row r="36" spans="1:12" x14ac:dyDescent="0.25">
      <c r="H36" s="246">
        <f>60677.285-H33</f>
        <v>-3287.4999999999927</v>
      </c>
    </row>
    <row r="38" spans="1:12" x14ac:dyDescent="0.25">
      <c r="H38" s="41"/>
      <c r="I38" s="41"/>
      <c r="J38" s="41"/>
      <c r="K38" s="41"/>
    </row>
    <row r="39" spans="1:12" x14ac:dyDescent="0.25">
      <c r="H39" s="41"/>
      <c r="I39" s="41"/>
      <c r="J39" s="41"/>
      <c r="K39" s="41"/>
    </row>
    <row r="40" spans="1:12" x14ac:dyDescent="0.25">
      <c r="H40" s="41"/>
      <c r="I40" s="41"/>
      <c r="J40" s="41"/>
      <c r="K40" s="41"/>
    </row>
    <row r="41" spans="1:12" x14ac:dyDescent="0.25">
      <c r="H41" s="41"/>
      <c r="I41" s="41"/>
      <c r="J41" s="41"/>
      <c r="K41" s="41"/>
    </row>
    <row r="42" spans="1:12" x14ac:dyDescent="0.25">
      <c r="H42" s="114"/>
      <c r="I42" s="114"/>
      <c r="J42" s="114"/>
      <c r="K42" s="114"/>
    </row>
    <row r="43" spans="1:12" x14ac:dyDescent="0.25">
      <c r="H43" s="41"/>
      <c r="I43" s="41"/>
      <c r="J43" s="41"/>
      <c r="K43" s="41"/>
    </row>
    <row r="44" spans="1:12" x14ac:dyDescent="0.25">
      <c r="H44" s="41"/>
      <c r="I44" s="41"/>
      <c r="J44" s="41"/>
      <c r="K44" s="41"/>
    </row>
    <row r="45" spans="1:12" x14ac:dyDescent="0.25">
      <c r="H45" s="41"/>
      <c r="I45" s="41"/>
      <c r="J45" s="41"/>
      <c r="K45" s="41"/>
    </row>
  </sheetData>
  <mergeCells count="38">
    <mergeCell ref="C24:C25"/>
    <mergeCell ref="D24:D25"/>
    <mergeCell ref="E24:E25"/>
    <mergeCell ref="G24:G25"/>
    <mergeCell ref="A29:A30"/>
    <mergeCell ref="B29:B30"/>
    <mergeCell ref="A27:A28"/>
    <mergeCell ref="B27:B2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  <mergeCell ref="A14:L14"/>
    <mergeCell ref="A13:L13"/>
    <mergeCell ref="B15:B16"/>
    <mergeCell ref="A15:A16"/>
    <mergeCell ref="L15:L18"/>
    <mergeCell ref="L19:L21"/>
    <mergeCell ref="L22:L23"/>
    <mergeCell ref="B17:B18"/>
    <mergeCell ref="A17:A18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22"/>
  <sheetViews>
    <sheetView view="pageBreakPreview" topLeftCell="A4" zoomScale="85" zoomScaleNormal="70" zoomScaleSheetLayoutView="85" workbookViewId="0">
      <selection activeCell="B24" sqref="B24:B25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335" t="s">
        <v>252</v>
      </c>
      <c r="G1" s="335"/>
      <c r="H1" s="335"/>
    </row>
    <row r="2" spans="1:8" hidden="1" outlineLevel="1" x14ac:dyDescent="0.25"/>
    <row r="3" spans="1:8" hidden="1" outlineLevel="1" x14ac:dyDescent="0.25"/>
    <row r="4" spans="1:8" ht="92.25" customHeight="1" collapsed="1" x14ac:dyDescent="0.25">
      <c r="F4" s="336" t="s">
        <v>201</v>
      </c>
      <c r="G4" s="336"/>
      <c r="H4" s="336"/>
    </row>
    <row r="5" spans="1:8" ht="18.75" x14ac:dyDescent="0.25">
      <c r="A5" s="9"/>
    </row>
    <row r="6" spans="1:8" ht="18.75" x14ac:dyDescent="0.25">
      <c r="A6" s="9"/>
    </row>
    <row r="7" spans="1:8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ht="48" customHeight="1" x14ac:dyDescent="0.25">
      <c r="A8" s="342" t="s">
        <v>76</v>
      </c>
      <c r="B8" s="339"/>
      <c r="C8" s="339"/>
      <c r="D8" s="339"/>
      <c r="E8" s="339"/>
      <c r="F8" s="339"/>
      <c r="G8" s="339"/>
      <c r="H8" s="339"/>
    </row>
    <row r="9" spans="1:8" ht="18.75" x14ac:dyDescent="0.25">
      <c r="A9" s="9"/>
    </row>
    <row r="10" spans="1:8" x14ac:dyDescent="0.25">
      <c r="A10" s="326" t="s">
        <v>19</v>
      </c>
      <c r="B10" s="326" t="s">
        <v>46</v>
      </c>
      <c r="C10" s="326" t="s">
        <v>2</v>
      </c>
      <c r="D10" s="326" t="s">
        <v>47</v>
      </c>
      <c r="E10" s="326" t="s">
        <v>48</v>
      </c>
      <c r="F10" s="326"/>
      <c r="G10" s="326"/>
      <c r="H10" s="326"/>
    </row>
    <row r="11" spans="1:8" x14ac:dyDescent="0.25">
      <c r="A11" s="326"/>
      <c r="B11" s="326"/>
      <c r="C11" s="326"/>
      <c r="D11" s="326"/>
      <c r="E11" s="142">
        <f>'пр к пасп ПП1'!E12</f>
        <v>2020</v>
      </c>
      <c r="F11" s="193">
        <f>'пр к пасп ПП1'!F12</f>
        <v>2021</v>
      </c>
      <c r="G11" s="193">
        <f>'пр к пасп ПП1'!G12</f>
        <v>2022</v>
      </c>
      <c r="H11" s="193">
        <f>'пр к пасп ПП1'!H12</f>
        <v>2023</v>
      </c>
    </row>
    <row r="12" spans="1:8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</row>
    <row r="13" spans="1:8" x14ac:dyDescent="0.25">
      <c r="A13" s="366" t="str">
        <f>'пр к ПП2'!A13:L13</f>
        <v>Цель. Удовлетворение потребности населения в перевозках.</v>
      </c>
      <c r="B13" s="367"/>
      <c r="C13" s="367"/>
      <c r="D13" s="367"/>
      <c r="E13" s="367"/>
      <c r="F13" s="367"/>
      <c r="G13" s="367"/>
      <c r="H13" s="368"/>
    </row>
    <row r="14" spans="1:8" ht="33" customHeight="1" x14ac:dyDescent="0.25">
      <c r="A14" s="366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67"/>
      <c r="C14" s="367"/>
      <c r="D14" s="367"/>
      <c r="E14" s="367"/>
      <c r="F14" s="367"/>
      <c r="G14" s="367"/>
      <c r="H14" s="368"/>
    </row>
    <row r="15" spans="1:8" ht="72" customHeight="1" x14ac:dyDescent="0.25">
      <c r="A15" s="289" t="s">
        <v>3</v>
      </c>
      <c r="B15" s="290" t="s">
        <v>136</v>
      </c>
      <c r="C15" s="289" t="s">
        <v>77</v>
      </c>
      <c r="D15" s="289" t="s">
        <v>78</v>
      </c>
      <c r="E15" s="230">
        <f>'пр к пасп'!K22</f>
        <v>9.3699999999999992</v>
      </c>
      <c r="F15" s="230">
        <f>'пр к пасп'!L22</f>
        <v>9.3800000000000008</v>
      </c>
      <c r="G15" s="230">
        <f>'пр к пасп'!M22</f>
        <v>9.39</v>
      </c>
      <c r="H15" s="230">
        <f>'пр к пасп'!N22</f>
        <v>9.4</v>
      </c>
    </row>
    <row r="16" spans="1:8" ht="72" customHeight="1" x14ac:dyDescent="0.25">
      <c r="A16" s="289" t="s">
        <v>83</v>
      </c>
      <c r="B16" s="290" t="s">
        <v>137</v>
      </c>
      <c r="C16" s="289" t="s">
        <v>79</v>
      </c>
      <c r="D16" s="289" t="s">
        <v>78</v>
      </c>
      <c r="E16" s="230">
        <f>'пр к пасп'!L23</f>
        <v>447.97999999999996</v>
      </c>
      <c r="F16" s="230">
        <f>'пр к пасп'!M23</f>
        <v>448.12999999999994</v>
      </c>
      <c r="G16" s="230">
        <f>'пр к пасп'!N23</f>
        <v>448.27999999999992</v>
      </c>
      <c r="H16" s="230">
        <f>'пр к пасп'!O23</f>
        <v>448.42999999999989</v>
      </c>
    </row>
    <row r="17" spans="1:8" x14ac:dyDescent="0.25">
      <c r="A17" s="357" t="s">
        <v>296</v>
      </c>
      <c r="B17" s="358"/>
      <c r="C17" s="358"/>
      <c r="D17" s="358"/>
      <c r="E17" s="358"/>
      <c r="F17" s="358"/>
      <c r="G17" s="358"/>
      <c r="H17" s="359"/>
    </row>
    <row r="18" spans="1:8" x14ac:dyDescent="0.25">
      <c r="A18" s="360" t="s">
        <v>297</v>
      </c>
      <c r="B18" s="361"/>
      <c r="C18" s="361"/>
      <c r="D18" s="361"/>
      <c r="E18" s="361"/>
      <c r="F18" s="361"/>
      <c r="G18" s="361"/>
      <c r="H18" s="362"/>
    </row>
    <row r="19" spans="1:8" ht="63" x14ac:dyDescent="0.25">
      <c r="A19" s="292">
        <v>1</v>
      </c>
      <c r="B19" s="291" t="s">
        <v>298</v>
      </c>
      <c r="C19" s="292" t="s">
        <v>299</v>
      </c>
      <c r="D19" s="292" t="s">
        <v>300</v>
      </c>
      <c r="E19" s="230">
        <v>5</v>
      </c>
      <c r="F19" s="306"/>
      <c r="G19" s="230"/>
      <c r="H19" s="230">
        <f t="shared" ref="H19" si="0">G19</f>
        <v>0</v>
      </c>
    </row>
    <row r="20" spans="1:8" x14ac:dyDescent="0.25">
      <c r="A20" s="363" t="s">
        <v>301</v>
      </c>
      <c r="B20" s="364"/>
      <c r="C20" s="364"/>
      <c r="D20" s="364"/>
      <c r="E20" s="364"/>
      <c r="F20" s="364"/>
      <c r="G20" s="364"/>
      <c r="H20" s="365"/>
    </row>
    <row r="21" spans="1:8" x14ac:dyDescent="0.25">
      <c r="A21" s="360" t="s">
        <v>302</v>
      </c>
      <c r="B21" s="361"/>
      <c r="C21" s="361"/>
      <c r="D21" s="361"/>
      <c r="E21" s="361"/>
      <c r="F21" s="361"/>
      <c r="G21" s="361"/>
      <c r="H21" s="362"/>
    </row>
    <row r="22" spans="1:8" ht="63" x14ac:dyDescent="0.25">
      <c r="A22" s="292">
        <v>1</v>
      </c>
      <c r="B22" s="291" t="s">
        <v>303</v>
      </c>
      <c r="C22" s="292" t="s">
        <v>299</v>
      </c>
      <c r="D22" s="292" t="s">
        <v>300</v>
      </c>
      <c r="E22" s="230">
        <v>0</v>
      </c>
      <c r="F22" s="38">
        <v>1</v>
      </c>
      <c r="G22" s="230"/>
      <c r="H22" s="230">
        <f t="shared" ref="H22" si="1">G22</f>
        <v>0</v>
      </c>
    </row>
  </sheetData>
  <mergeCells count="15">
    <mergeCell ref="A17:H17"/>
    <mergeCell ref="A18:H18"/>
    <mergeCell ref="A20:H20"/>
    <mergeCell ref="A21:H21"/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T40"/>
  <sheetViews>
    <sheetView view="pageBreakPreview" topLeftCell="A4" zoomScale="70" zoomScaleNormal="70" zoomScaleSheetLayoutView="70" workbookViewId="0">
      <selection activeCell="B24" sqref="B24:B25"/>
    </sheetView>
  </sheetViews>
  <sheetFormatPr defaultRowHeight="18.75" outlineLevelRow="1" x14ac:dyDescent="0.25"/>
  <cols>
    <col min="1" max="1" width="4.75" style="189" customWidth="1"/>
    <col min="2" max="2" width="45.25" style="21" customWidth="1"/>
    <col min="3" max="3" width="18.5" style="21" customWidth="1"/>
    <col min="4" max="5" width="7.375" style="21" customWidth="1"/>
    <col min="6" max="6" width="17.75" style="21" customWidth="1"/>
    <col min="7" max="7" width="5.75" style="21" customWidth="1"/>
    <col min="8" max="8" width="16.875" style="21" bestFit="1" customWidth="1"/>
    <col min="9" max="10" width="13.75" style="21" bestFit="1" customWidth="1"/>
    <col min="11" max="11" width="18.625" style="21" customWidth="1"/>
    <col min="12" max="12" width="24.5" style="21" customWidth="1"/>
    <col min="13" max="16" width="9" style="21"/>
    <col min="17" max="17" width="22.375" style="21" customWidth="1"/>
    <col min="18" max="18" width="19.25" style="21" customWidth="1"/>
    <col min="19" max="19" width="17" style="21" customWidth="1"/>
    <col min="20" max="16384" width="9" style="21"/>
  </cols>
  <sheetData>
    <row r="1" spans="1:12" ht="84" hidden="1" customHeight="1" outlineLevel="1" x14ac:dyDescent="0.3">
      <c r="K1" s="352" t="s">
        <v>250</v>
      </c>
      <c r="L1" s="352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3" t="s">
        <v>202</v>
      </c>
      <c r="L4" s="353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233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10" spans="1:12" s="25" customFormat="1" ht="32.25" customHeight="1" x14ac:dyDescent="0.25">
      <c r="A10" s="332" t="s">
        <v>19</v>
      </c>
      <c r="B10" s="332" t="s">
        <v>49</v>
      </c>
      <c r="C10" s="332" t="s">
        <v>25</v>
      </c>
      <c r="D10" s="332" t="s">
        <v>23</v>
      </c>
      <c r="E10" s="332"/>
      <c r="F10" s="332"/>
      <c r="G10" s="332"/>
      <c r="H10" s="332" t="s">
        <v>50</v>
      </c>
      <c r="I10" s="332"/>
      <c r="J10" s="332"/>
      <c r="K10" s="332"/>
      <c r="L10" s="332" t="s">
        <v>51</v>
      </c>
    </row>
    <row r="11" spans="1:12" s="25" customFormat="1" ht="85.5" customHeight="1" x14ac:dyDescent="0.25">
      <c r="A11" s="332"/>
      <c r="B11" s="332"/>
      <c r="C11" s="332"/>
      <c r="D11" s="188" t="s">
        <v>25</v>
      </c>
      <c r="E11" s="188" t="s">
        <v>26</v>
      </c>
      <c r="F11" s="188" t="s">
        <v>27</v>
      </c>
      <c r="G11" s="188" t="s">
        <v>28</v>
      </c>
      <c r="H11" s="199">
        <v>2021</v>
      </c>
      <c r="I11" s="199">
        <v>2022</v>
      </c>
      <c r="J11" s="199">
        <v>2023</v>
      </c>
      <c r="K11" s="188" t="s">
        <v>52</v>
      </c>
      <c r="L11" s="332"/>
    </row>
    <row r="12" spans="1:12" s="25" customFormat="1" ht="15.75" x14ac:dyDescent="0.25">
      <c r="A12" s="188">
        <v>1</v>
      </c>
      <c r="B12" s="188">
        <v>2</v>
      </c>
      <c r="C12" s="188">
        <v>3</v>
      </c>
      <c r="D12" s="188">
        <v>4</v>
      </c>
      <c r="E12" s="188">
        <v>5</v>
      </c>
      <c r="F12" s="188">
        <v>6</v>
      </c>
      <c r="G12" s="188">
        <v>7</v>
      </c>
      <c r="H12" s="188">
        <v>8</v>
      </c>
      <c r="I12" s="188">
        <v>9</v>
      </c>
      <c r="J12" s="188">
        <v>10</v>
      </c>
      <c r="K12" s="188">
        <v>11</v>
      </c>
      <c r="L12" s="188">
        <v>12</v>
      </c>
    </row>
    <row r="13" spans="1:12" s="26" customFormat="1" ht="18.75" customHeight="1" x14ac:dyDescent="0.25">
      <c r="A13" s="351" t="s">
        <v>164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2" s="26" customFormat="1" ht="15.75" x14ac:dyDescent="0.25">
      <c r="A14" s="351" t="s">
        <v>123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s="25" customFormat="1" ht="47.25" x14ac:dyDescent="0.25">
      <c r="A15" s="332" t="s">
        <v>3</v>
      </c>
      <c r="B15" s="329" t="s">
        <v>104</v>
      </c>
      <c r="C15" s="186" t="s">
        <v>65</v>
      </c>
      <c r="D15" s="188">
        <v>241</v>
      </c>
      <c r="E15" s="188" t="s">
        <v>64</v>
      </c>
      <c r="F15" s="138" t="s">
        <v>172</v>
      </c>
      <c r="G15" s="188">
        <v>811</v>
      </c>
      <c r="H15" s="71">
        <v>111834.7</v>
      </c>
      <c r="I15" s="71">
        <v>111834.7</v>
      </c>
      <c r="J15" s="71">
        <v>111834.7</v>
      </c>
      <c r="K15" s="72">
        <f>SUM(H15:J15)</f>
        <v>335504.09999999998</v>
      </c>
      <c r="L15" s="332" t="s">
        <v>120</v>
      </c>
    </row>
    <row r="16" spans="1:12" s="25" customFormat="1" ht="31.5" x14ac:dyDescent="0.25">
      <c r="A16" s="332"/>
      <c r="B16" s="329"/>
      <c r="C16" s="156" t="s">
        <v>265</v>
      </c>
      <c r="D16" s="123" t="s">
        <v>30</v>
      </c>
      <c r="E16" s="123" t="s">
        <v>30</v>
      </c>
      <c r="F16" s="123" t="s">
        <v>30</v>
      </c>
      <c r="G16" s="123" t="s">
        <v>30</v>
      </c>
      <c r="H16" s="157">
        <f t="shared" ref="H16:I16" si="0">H15</f>
        <v>111834.7</v>
      </c>
      <c r="I16" s="157">
        <f t="shared" si="0"/>
        <v>111834.7</v>
      </c>
      <c r="J16" s="157">
        <f t="shared" ref="J16" si="1">J15</f>
        <v>111834.7</v>
      </c>
      <c r="K16" s="139">
        <f t="shared" ref="K16:K18" si="2">SUM(H16:J16)</f>
        <v>335504.09999999998</v>
      </c>
      <c r="L16" s="332"/>
    </row>
    <row r="17" spans="1:20" s="25" customFormat="1" ht="47.25" x14ac:dyDescent="0.25">
      <c r="A17" s="332" t="s">
        <v>83</v>
      </c>
      <c r="B17" s="329" t="s">
        <v>105</v>
      </c>
      <c r="C17" s="186" t="s">
        <v>65</v>
      </c>
      <c r="D17" s="188">
        <v>241</v>
      </c>
      <c r="E17" s="188" t="s">
        <v>64</v>
      </c>
      <c r="F17" s="138" t="s">
        <v>173</v>
      </c>
      <c r="G17" s="188">
        <v>540</v>
      </c>
      <c r="H17" s="71">
        <v>30094.546999999999</v>
      </c>
      <c r="I17" s="71">
        <v>30094.546999999999</v>
      </c>
      <c r="J17" s="71">
        <v>30094.546999999999</v>
      </c>
      <c r="K17" s="72">
        <f>SUM(H17:J17)</f>
        <v>90283.641000000003</v>
      </c>
      <c r="L17" s="332" t="s">
        <v>120</v>
      </c>
      <c r="O17" s="283"/>
      <c r="P17" s="283"/>
      <c r="Q17" s="283" t="s">
        <v>323</v>
      </c>
      <c r="R17" s="283"/>
      <c r="S17" s="282"/>
    </row>
    <row r="18" spans="1:20" s="25" customFormat="1" ht="31.5" x14ac:dyDescent="0.25">
      <c r="A18" s="332"/>
      <c r="B18" s="329"/>
      <c r="C18" s="156" t="s">
        <v>265</v>
      </c>
      <c r="D18" s="123" t="s">
        <v>30</v>
      </c>
      <c r="E18" s="123" t="s">
        <v>30</v>
      </c>
      <c r="F18" s="123" t="s">
        <v>30</v>
      </c>
      <c r="G18" s="123" t="s">
        <v>30</v>
      </c>
      <c r="H18" s="157">
        <f t="shared" ref="H18:H20" si="3">H17</f>
        <v>30094.546999999999</v>
      </c>
      <c r="I18" s="157">
        <f t="shared" ref="I18:J20" si="4">I17</f>
        <v>30094.546999999999</v>
      </c>
      <c r="J18" s="157">
        <f t="shared" si="4"/>
        <v>30094.546999999999</v>
      </c>
      <c r="K18" s="139">
        <f t="shared" si="2"/>
        <v>90283.641000000003</v>
      </c>
      <c r="L18" s="332"/>
      <c r="O18" s="283" t="s">
        <v>325</v>
      </c>
      <c r="P18" s="283"/>
      <c r="Q18" s="284">
        <v>708164</v>
      </c>
      <c r="R18" s="284">
        <v>-708164</v>
      </c>
      <c r="S18" s="285">
        <f>Q18+R18</f>
        <v>0</v>
      </c>
      <c r="T18" s="25" t="s">
        <v>329</v>
      </c>
    </row>
    <row r="19" spans="1:20" s="25" customFormat="1" ht="222.75" customHeight="1" x14ac:dyDescent="0.25">
      <c r="A19" s="343" t="s">
        <v>85</v>
      </c>
      <c r="B19" s="346" t="s">
        <v>330</v>
      </c>
      <c r="C19" s="261" t="s">
        <v>65</v>
      </c>
      <c r="D19" s="265" t="s">
        <v>289</v>
      </c>
      <c r="E19" s="265" t="s">
        <v>64</v>
      </c>
      <c r="F19" s="265" t="s">
        <v>332</v>
      </c>
      <c r="G19" s="265" t="s">
        <v>331</v>
      </c>
      <c r="H19" s="287">
        <v>0</v>
      </c>
      <c r="I19" s="287">
        <v>0</v>
      </c>
      <c r="J19" s="287">
        <v>0</v>
      </c>
      <c r="K19" s="288"/>
      <c r="L19" s="332" t="s">
        <v>333</v>
      </c>
      <c r="O19" s="283"/>
      <c r="P19" s="283"/>
      <c r="Q19" s="284"/>
      <c r="R19" s="284"/>
      <c r="S19" s="285"/>
    </row>
    <row r="20" spans="1:20" s="25" customFormat="1" ht="31.5" x14ac:dyDescent="0.25">
      <c r="A20" s="345"/>
      <c r="B20" s="347"/>
      <c r="C20" s="156" t="s">
        <v>265</v>
      </c>
      <c r="D20" s="123" t="s">
        <v>30</v>
      </c>
      <c r="E20" s="123" t="s">
        <v>30</v>
      </c>
      <c r="F20" s="123" t="s">
        <v>30</v>
      </c>
      <c r="G20" s="123" t="s">
        <v>30</v>
      </c>
      <c r="H20" s="157">
        <f t="shared" si="3"/>
        <v>0</v>
      </c>
      <c r="I20" s="157">
        <f t="shared" si="4"/>
        <v>0</v>
      </c>
      <c r="J20" s="157">
        <f t="shared" si="4"/>
        <v>0</v>
      </c>
      <c r="K20" s="139">
        <f t="shared" ref="K20" si="5">SUM(H20:J20)</f>
        <v>0</v>
      </c>
      <c r="L20" s="332"/>
      <c r="O20" s="283"/>
      <c r="P20" s="283"/>
      <c r="Q20" s="284"/>
      <c r="R20" s="284"/>
      <c r="S20" s="285"/>
    </row>
    <row r="21" spans="1:20" s="26" customFormat="1" ht="15.75" outlineLevel="1" x14ac:dyDescent="0.25">
      <c r="A21" s="351" t="s">
        <v>241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O21" s="283" t="s">
        <v>324</v>
      </c>
      <c r="P21" s="283"/>
      <c r="Q21" s="284">
        <v>22121777</v>
      </c>
      <c r="R21" s="284">
        <v>-810700</v>
      </c>
      <c r="S21" s="285">
        <f t="shared" ref="S21:S23" si="6">Q21+R21</f>
        <v>21311077</v>
      </c>
      <c r="T21" s="26" t="s">
        <v>329</v>
      </c>
    </row>
    <row r="22" spans="1:20" s="25" customFormat="1" ht="78.75" outlineLevel="1" x14ac:dyDescent="0.25">
      <c r="A22" s="332" t="s">
        <v>84</v>
      </c>
      <c r="B22" s="329" t="s">
        <v>210</v>
      </c>
      <c r="C22" s="294" t="s">
        <v>94</v>
      </c>
      <c r="D22" s="295">
        <v>242</v>
      </c>
      <c r="E22" s="138" t="s">
        <v>211</v>
      </c>
      <c r="F22" s="138" t="s">
        <v>226</v>
      </c>
      <c r="G22" s="295">
        <v>244</v>
      </c>
      <c r="H22" s="307">
        <v>0</v>
      </c>
      <c r="I22" s="308">
        <v>0</v>
      </c>
      <c r="J22" s="308">
        <v>0</v>
      </c>
      <c r="K22" s="309">
        <f t="shared" ref="K22:K23" si="7">SUM(H22:J22)</f>
        <v>0</v>
      </c>
      <c r="L22" s="332"/>
      <c r="O22" s="283" t="s">
        <v>326</v>
      </c>
      <c r="P22" s="283"/>
      <c r="Q22" s="284">
        <v>3498423</v>
      </c>
      <c r="R22" s="284"/>
      <c r="S22" s="285">
        <f t="shared" si="6"/>
        <v>3498423</v>
      </c>
    </row>
    <row r="23" spans="1:20" s="25" customFormat="1" ht="31.5" outlineLevel="1" x14ac:dyDescent="0.25">
      <c r="A23" s="332"/>
      <c r="B23" s="329"/>
      <c r="C23" s="156" t="s">
        <v>227</v>
      </c>
      <c r="D23" s="123" t="s">
        <v>30</v>
      </c>
      <c r="E23" s="123" t="s">
        <v>30</v>
      </c>
      <c r="F23" s="123" t="s">
        <v>30</v>
      </c>
      <c r="G23" s="123" t="s">
        <v>30</v>
      </c>
      <c r="H23" s="310">
        <f>H22</f>
        <v>0</v>
      </c>
      <c r="I23" s="310">
        <f t="shared" ref="I23:I25" si="8">I22</f>
        <v>0</v>
      </c>
      <c r="J23" s="310">
        <f t="shared" ref="J23:J25" si="9">J22</f>
        <v>0</v>
      </c>
      <c r="K23" s="311">
        <f t="shared" si="7"/>
        <v>0</v>
      </c>
      <c r="L23" s="332"/>
      <c r="O23" s="283" t="s">
        <v>327</v>
      </c>
      <c r="P23" s="283"/>
      <c r="Q23" s="284">
        <v>1833337</v>
      </c>
      <c r="R23" s="284"/>
      <c r="S23" s="285">
        <f t="shared" si="6"/>
        <v>1833337</v>
      </c>
    </row>
    <row r="24" spans="1:20" s="25" customFormat="1" ht="78.75" outlineLevel="1" x14ac:dyDescent="0.25">
      <c r="A24" s="332" t="s">
        <v>286</v>
      </c>
      <c r="B24" s="329" t="s">
        <v>261</v>
      </c>
      <c r="C24" s="187" t="s">
        <v>66</v>
      </c>
      <c r="D24" s="188">
        <v>247</v>
      </c>
      <c r="E24" s="138" t="s">
        <v>64</v>
      </c>
      <c r="F24" s="138" t="s">
        <v>260</v>
      </c>
      <c r="G24" s="188">
        <v>540</v>
      </c>
      <c r="H24" s="307">
        <v>0</v>
      </c>
      <c r="I24" s="308">
        <v>0</v>
      </c>
      <c r="J24" s="308">
        <v>0</v>
      </c>
      <c r="K24" s="309">
        <f t="shared" ref="K24:K25" si="10">SUM(H24:J24)</f>
        <v>0</v>
      </c>
      <c r="L24" s="188"/>
      <c r="O24" s="283" t="s">
        <v>328</v>
      </c>
      <c r="P24" s="283"/>
      <c r="Q24" s="284"/>
      <c r="R24" s="284"/>
      <c r="S24" s="285"/>
    </row>
    <row r="25" spans="1:20" s="25" customFormat="1" ht="31.5" outlineLevel="1" x14ac:dyDescent="0.25">
      <c r="A25" s="332"/>
      <c r="B25" s="329"/>
      <c r="C25" s="156" t="s">
        <v>227</v>
      </c>
      <c r="D25" s="123" t="s">
        <v>30</v>
      </c>
      <c r="E25" s="123" t="s">
        <v>30</v>
      </c>
      <c r="F25" s="123" t="s">
        <v>30</v>
      </c>
      <c r="G25" s="123" t="s">
        <v>30</v>
      </c>
      <c r="H25" s="310">
        <f>H24</f>
        <v>0</v>
      </c>
      <c r="I25" s="310">
        <f t="shared" si="8"/>
        <v>0</v>
      </c>
      <c r="J25" s="310">
        <f t="shared" si="9"/>
        <v>0</v>
      </c>
      <c r="K25" s="311">
        <f t="shared" si="10"/>
        <v>0</v>
      </c>
      <c r="L25" s="188"/>
      <c r="O25" s="283"/>
      <c r="P25" s="283"/>
      <c r="Q25" s="284">
        <f>SUM(Q18:Q24)</f>
        <v>28161701</v>
      </c>
      <c r="R25" s="284"/>
      <c r="S25" s="285">
        <f>SUM(S18:S24)</f>
        <v>26642837</v>
      </c>
    </row>
    <row r="26" spans="1:20" s="25" customFormat="1" ht="15.75" outlineLevel="1" x14ac:dyDescent="0.25">
      <c r="A26" s="369" t="s">
        <v>287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1"/>
    </row>
    <row r="27" spans="1:20" s="25" customFormat="1" ht="47.25" outlineLevel="1" x14ac:dyDescent="0.25">
      <c r="A27" s="348" t="s">
        <v>116</v>
      </c>
      <c r="B27" s="343" t="s">
        <v>288</v>
      </c>
      <c r="C27" s="247" t="s">
        <v>65</v>
      </c>
      <c r="D27" s="249" t="s">
        <v>289</v>
      </c>
      <c r="E27" s="249" t="s">
        <v>64</v>
      </c>
      <c r="F27" s="249" t="s">
        <v>290</v>
      </c>
      <c r="G27" s="249"/>
      <c r="H27" s="322">
        <v>4320</v>
      </c>
      <c r="I27" s="322">
        <v>4320</v>
      </c>
      <c r="J27" s="322">
        <v>4320</v>
      </c>
      <c r="K27" s="323">
        <f>SUM(H27:J27)</f>
        <v>12960</v>
      </c>
      <c r="L27" s="248"/>
      <c r="S27" s="25">
        <f>S25/1000</f>
        <v>26642.837</v>
      </c>
    </row>
    <row r="28" spans="1:20" s="25" customFormat="1" ht="31.5" outlineLevel="1" x14ac:dyDescent="0.25">
      <c r="A28" s="349"/>
      <c r="B28" s="345"/>
      <c r="C28" s="156" t="s">
        <v>265</v>
      </c>
      <c r="D28" s="123" t="s">
        <v>30</v>
      </c>
      <c r="E28" s="123" t="s">
        <v>30</v>
      </c>
      <c r="F28" s="123" t="s">
        <v>30</v>
      </c>
      <c r="G28" s="123" t="s">
        <v>30</v>
      </c>
      <c r="H28" s="157">
        <f>SUM(H27)</f>
        <v>4320</v>
      </c>
      <c r="I28" s="157">
        <f t="shared" ref="I28:K31" si="11">SUM(I27)</f>
        <v>4320</v>
      </c>
      <c r="J28" s="157">
        <f t="shared" si="11"/>
        <v>4320</v>
      </c>
      <c r="K28" s="157">
        <f t="shared" si="11"/>
        <v>12960</v>
      </c>
      <c r="L28" s="248"/>
      <c r="S28" s="286">
        <f>S27-H17</f>
        <v>-3451.7099999999991</v>
      </c>
    </row>
    <row r="29" spans="1:20" s="25" customFormat="1" ht="15.75" outlineLevel="1" x14ac:dyDescent="0.25">
      <c r="A29" s="372" t="s">
        <v>321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  <c r="L29" s="280"/>
    </row>
    <row r="30" spans="1:20" s="25" customFormat="1" ht="53.25" customHeight="1" outlineLevel="1" x14ac:dyDescent="0.25">
      <c r="A30" s="348"/>
      <c r="B30" s="346" t="s">
        <v>304</v>
      </c>
      <c r="C30" s="279" t="s">
        <v>65</v>
      </c>
      <c r="D30" s="249" t="s">
        <v>289</v>
      </c>
      <c r="E30" s="249" t="s">
        <v>67</v>
      </c>
      <c r="F30" s="249" t="s">
        <v>319</v>
      </c>
      <c r="G30" s="249" t="s">
        <v>318</v>
      </c>
      <c r="H30" s="250">
        <v>0</v>
      </c>
      <c r="I30" s="250">
        <v>0</v>
      </c>
      <c r="J30" s="250">
        <v>0</v>
      </c>
      <c r="K30" s="301">
        <f>SUM(H30:J30)</f>
        <v>0</v>
      </c>
      <c r="L30" s="280"/>
    </row>
    <row r="31" spans="1:20" s="25" customFormat="1" ht="31.5" outlineLevel="1" x14ac:dyDescent="0.25">
      <c r="A31" s="349"/>
      <c r="B31" s="347"/>
      <c r="C31" s="156" t="s">
        <v>265</v>
      </c>
      <c r="D31" s="123" t="s">
        <v>30</v>
      </c>
      <c r="E31" s="123" t="s">
        <v>30</v>
      </c>
      <c r="F31" s="123" t="s">
        <v>30</v>
      </c>
      <c r="G31" s="123" t="s">
        <v>30</v>
      </c>
      <c r="H31" s="157">
        <f>SUM(H30)</f>
        <v>0</v>
      </c>
      <c r="I31" s="157">
        <f t="shared" si="11"/>
        <v>0</v>
      </c>
      <c r="J31" s="157">
        <f t="shared" si="11"/>
        <v>0</v>
      </c>
      <c r="K31" s="157">
        <f t="shared" si="11"/>
        <v>0</v>
      </c>
      <c r="L31" s="280"/>
    </row>
    <row r="32" spans="1:20" s="25" customFormat="1" ht="15.75" outlineLevel="1" x14ac:dyDescent="0.25">
      <c r="A32" s="372" t="s">
        <v>322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4"/>
      <c r="L32" s="280"/>
    </row>
    <row r="33" spans="1:12" s="25" customFormat="1" ht="48" customHeight="1" outlineLevel="1" x14ac:dyDescent="0.25">
      <c r="A33" s="348"/>
      <c r="B33" s="346" t="s">
        <v>305</v>
      </c>
      <c r="C33" s="279" t="s">
        <v>65</v>
      </c>
      <c r="D33" s="249" t="s">
        <v>289</v>
      </c>
      <c r="E33" s="249" t="s">
        <v>67</v>
      </c>
      <c r="F33" s="249" t="s">
        <v>320</v>
      </c>
      <c r="G33" s="249" t="s">
        <v>318</v>
      </c>
      <c r="H33" s="250">
        <v>0</v>
      </c>
      <c r="I33" s="250">
        <v>0</v>
      </c>
      <c r="J33" s="250">
        <v>0</v>
      </c>
      <c r="K33" s="301">
        <f>SUM(H33:J33)</f>
        <v>0</v>
      </c>
      <c r="L33" s="280"/>
    </row>
    <row r="34" spans="1:12" s="25" customFormat="1" ht="31.5" outlineLevel="1" x14ac:dyDescent="0.25">
      <c r="A34" s="349"/>
      <c r="B34" s="347"/>
      <c r="C34" s="156" t="s">
        <v>265</v>
      </c>
      <c r="D34" s="123" t="s">
        <v>30</v>
      </c>
      <c r="E34" s="123" t="s">
        <v>30</v>
      </c>
      <c r="F34" s="123" t="s">
        <v>30</v>
      </c>
      <c r="G34" s="123" t="s">
        <v>30</v>
      </c>
      <c r="H34" s="157">
        <f>SUM(H33)</f>
        <v>0</v>
      </c>
      <c r="I34" s="157">
        <f t="shared" ref="I34:K34" si="12">SUM(I33)</f>
        <v>0</v>
      </c>
      <c r="J34" s="157">
        <f t="shared" si="12"/>
        <v>0</v>
      </c>
      <c r="K34" s="157">
        <f t="shared" si="12"/>
        <v>0</v>
      </c>
      <c r="L34" s="280"/>
    </row>
    <row r="35" spans="1:12" s="158" customFormat="1" ht="19.5" customHeight="1" x14ac:dyDescent="0.25">
      <c r="A35" s="119"/>
      <c r="B35" s="120" t="s">
        <v>119</v>
      </c>
      <c r="C35" s="119" t="s">
        <v>30</v>
      </c>
      <c r="D35" s="119" t="s">
        <v>30</v>
      </c>
      <c r="E35" s="119" t="s">
        <v>30</v>
      </c>
      <c r="F35" s="119" t="s">
        <v>30</v>
      </c>
      <c r="G35" s="119" t="s">
        <v>30</v>
      </c>
      <c r="H35" s="121">
        <f>H16+H18+H28+H31+H34+H20</f>
        <v>146249.247</v>
      </c>
      <c r="I35" s="121">
        <f t="shared" ref="I35:K35" si="13">I16+I18+I28+I31+I34+I20</f>
        <v>146249.247</v>
      </c>
      <c r="J35" s="121">
        <f t="shared" si="13"/>
        <v>146249.247</v>
      </c>
      <c r="K35" s="121">
        <f t="shared" si="13"/>
        <v>438747.74099999998</v>
      </c>
      <c r="L35" s="119" t="s">
        <v>30</v>
      </c>
    </row>
    <row r="37" spans="1:12" x14ac:dyDescent="0.25">
      <c r="H37" s="41">
        <f>H15/1000</f>
        <v>111.8347</v>
      </c>
      <c r="I37" s="41">
        <f>I15/1000</f>
        <v>111.8347</v>
      </c>
      <c r="J37" s="41">
        <f>J15/1000</f>
        <v>111.8347</v>
      </c>
      <c r="K37" s="41">
        <f>K15/1000</f>
        <v>335.50409999999999</v>
      </c>
    </row>
    <row r="38" spans="1:12" s="23" customFormat="1" x14ac:dyDescent="0.25">
      <c r="A38" s="24"/>
      <c r="H38" s="41">
        <f>H17/1000</f>
        <v>30.094546999999999</v>
      </c>
      <c r="I38" s="41">
        <f>I17/1000</f>
        <v>30.094546999999999</v>
      </c>
      <c r="J38" s="41">
        <f>J17/1000</f>
        <v>30.094546999999999</v>
      </c>
      <c r="K38" s="41">
        <f>K17/1000</f>
        <v>90.283641000000003</v>
      </c>
    </row>
    <row r="39" spans="1:12" s="23" customFormat="1" x14ac:dyDescent="0.25">
      <c r="A39" s="24"/>
      <c r="H39" s="41">
        <f t="shared" ref="H39:K39" si="14">H35/1000</f>
        <v>146.249247</v>
      </c>
      <c r="I39" s="41">
        <f t="shared" si="14"/>
        <v>146.249247</v>
      </c>
      <c r="J39" s="41">
        <f t="shared" si="14"/>
        <v>146.249247</v>
      </c>
      <c r="K39" s="41">
        <f t="shared" si="14"/>
        <v>438.74774099999996</v>
      </c>
    </row>
    <row r="40" spans="1:12" s="23" customFormat="1" x14ac:dyDescent="0.25">
      <c r="A40" s="24"/>
    </row>
  </sheetData>
  <autoFilter ref="A10:L37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36">
    <mergeCell ref="B30:B31"/>
    <mergeCell ref="A30:A31"/>
    <mergeCell ref="A29:K29"/>
    <mergeCell ref="A32:K32"/>
    <mergeCell ref="A33:A34"/>
    <mergeCell ref="B33:B34"/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  <mergeCell ref="A8:L8"/>
    <mergeCell ref="B19:B20"/>
    <mergeCell ref="A19:A20"/>
    <mergeCell ref="A26:L26"/>
    <mergeCell ref="B27:B28"/>
    <mergeCell ref="A27:A28"/>
    <mergeCell ref="A10:A11"/>
    <mergeCell ref="B10:B11"/>
    <mergeCell ref="L15:L16"/>
    <mergeCell ref="C10:C11"/>
    <mergeCell ref="D10:G10"/>
    <mergeCell ref="H10:K10"/>
    <mergeCell ref="L10:L11"/>
    <mergeCell ref="A13:L13"/>
    <mergeCell ref="A24:A25"/>
    <mergeCell ref="B24:B25"/>
    <mergeCell ref="L19:L20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rowBreaks count="1" manualBreakCount="1">
    <brk id="18" max="11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1"/>
  <sheetViews>
    <sheetView view="pageBreakPreview" topLeftCell="A4" zoomScaleNormal="85" zoomScaleSheetLayoutView="100" workbookViewId="0">
      <selection activeCell="B24" sqref="B24:B25"/>
    </sheetView>
  </sheetViews>
  <sheetFormatPr defaultRowHeight="15.75" outlineLevelRow="1" outlineLevelCol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4.875" style="1" hidden="1" customWidth="1" outlineLevel="1"/>
    <col min="6" max="6" width="12.875" style="1" customWidth="1" collapsed="1"/>
    <col min="7" max="9" width="14.625" style="1" customWidth="1"/>
    <col min="10" max="16384" width="9" style="1"/>
  </cols>
  <sheetData>
    <row r="1" spans="1:9" ht="78.75" hidden="1" customHeight="1" outlineLevel="1" x14ac:dyDescent="0.25">
      <c r="G1" s="335" t="s">
        <v>253</v>
      </c>
      <c r="H1" s="335"/>
      <c r="I1" s="335"/>
    </row>
    <row r="2" spans="1:9" hidden="1" outlineLevel="1" x14ac:dyDescent="0.25"/>
    <row r="3" spans="1:9" hidden="1" outlineLevel="1" x14ac:dyDescent="0.25"/>
    <row r="4" spans="1:9" ht="78.75" customHeight="1" collapsed="1" x14ac:dyDescent="0.25">
      <c r="G4" s="336" t="s">
        <v>203</v>
      </c>
      <c r="H4" s="336"/>
      <c r="I4" s="336"/>
    </row>
    <row r="5" spans="1:9" ht="18.75" x14ac:dyDescent="0.25">
      <c r="A5" s="9"/>
    </row>
    <row r="6" spans="1:9" ht="18.75" x14ac:dyDescent="0.25">
      <c r="A6" s="9"/>
    </row>
    <row r="7" spans="1:9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  <c r="I7" s="339"/>
    </row>
    <row r="8" spans="1:9" ht="48" customHeight="1" x14ac:dyDescent="0.25">
      <c r="A8" s="342" t="s">
        <v>80</v>
      </c>
      <c r="B8" s="339"/>
      <c r="C8" s="339"/>
      <c r="D8" s="339"/>
      <c r="E8" s="339"/>
      <c r="F8" s="339"/>
      <c r="G8" s="339"/>
      <c r="H8" s="339"/>
      <c r="I8" s="339"/>
    </row>
    <row r="9" spans="1:9" ht="18.75" x14ac:dyDescent="0.25">
      <c r="A9" s="9"/>
    </row>
    <row r="10" spans="1:9" x14ac:dyDescent="0.25">
      <c r="A10" s="326" t="s">
        <v>19</v>
      </c>
      <c r="B10" s="326" t="s">
        <v>46</v>
      </c>
      <c r="C10" s="326" t="s">
        <v>2</v>
      </c>
      <c r="D10" s="326" t="s">
        <v>47</v>
      </c>
      <c r="E10" s="293"/>
      <c r="F10" s="326" t="s">
        <v>48</v>
      </c>
      <c r="G10" s="326"/>
      <c r="H10" s="326"/>
      <c r="I10" s="326"/>
    </row>
    <row r="11" spans="1:9" x14ac:dyDescent="0.25">
      <c r="A11" s="326"/>
      <c r="B11" s="326"/>
      <c r="C11" s="326"/>
      <c r="D11" s="326"/>
      <c r="E11" s="293">
        <v>2019</v>
      </c>
      <c r="F11" s="193">
        <v>2020</v>
      </c>
      <c r="G11" s="193">
        <v>2021</v>
      </c>
      <c r="H11" s="245">
        <v>2022</v>
      </c>
      <c r="I11" s="193">
        <v>2023</v>
      </c>
    </row>
    <row r="12" spans="1:9" x14ac:dyDescent="0.25">
      <c r="A12" s="10">
        <v>1</v>
      </c>
      <c r="B12" s="10">
        <v>2</v>
      </c>
      <c r="C12" s="10">
        <v>3</v>
      </c>
      <c r="D12" s="10">
        <v>4</v>
      </c>
      <c r="E12" s="293"/>
      <c r="F12" s="10">
        <v>5</v>
      </c>
      <c r="G12" s="10">
        <v>6</v>
      </c>
      <c r="H12" s="10">
        <v>7</v>
      </c>
      <c r="I12" s="10">
        <v>8</v>
      </c>
    </row>
    <row r="13" spans="1:9" x14ac:dyDescent="0.25">
      <c r="A13" s="341" t="str">
        <f>'пр к ПП3'!A13:L13</f>
        <v>Цель. Снижение числа лиц, погибших в результате ДТП, и количества ДТП с пострадавшими.</v>
      </c>
      <c r="B13" s="341"/>
      <c r="C13" s="341"/>
      <c r="D13" s="341"/>
      <c r="E13" s="341"/>
      <c r="F13" s="341"/>
      <c r="G13" s="341"/>
      <c r="H13" s="341"/>
      <c r="I13" s="341"/>
    </row>
    <row r="14" spans="1:9" ht="41.25" customHeight="1" x14ac:dyDescent="0.25">
      <c r="A14" s="341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41"/>
      <c r="C14" s="341"/>
      <c r="D14" s="341"/>
      <c r="E14" s="341"/>
      <c r="F14" s="341"/>
      <c r="G14" s="341"/>
      <c r="H14" s="341"/>
      <c r="I14" s="341"/>
    </row>
    <row r="15" spans="1:9" s="46" customFormat="1" ht="63" x14ac:dyDescent="0.25">
      <c r="A15" s="44" t="s">
        <v>3</v>
      </c>
      <c r="B15" s="20" t="s">
        <v>139</v>
      </c>
      <c r="C15" s="44" t="s">
        <v>141</v>
      </c>
      <c r="D15" s="223" t="s">
        <v>145</v>
      </c>
      <c r="E15" s="298" t="e">
        <f t="shared" ref="E15:I15" si="0">E16/E17*100000</f>
        <v>#DIV/0!</v>
      </c>
      <c r="F15" s="324">
        <f t="shared" si="0"/>
        <v>18.957345971563981</v>
      </c>
      <c r="G15" s="324">
        <f t="shared" si="0"/>
        <v>6.4184852374839538</v>
      </c>
      <c r="H15" s="324">
        <f t="shared" si="0"/>
        <v>6.418073294397022</v>
      </c>
      <c r="I15" s="324">
        <f t="shared" si="0"/>
        <v>6.4176614041843143</v>
      </c>
    </row>
    <row r="16" spans="1:9" s="148" customFormat="1" ht="31.5" hidden="1" outlineLevel="1" x14ac:dyDescent="0.25">
      <c r="A16" s="35"/>
      <c r="B16" s="34" t="s">
        <v>81</v>
      </c>
      <c r="C16" s="35"/>
      <c r="D16" s="35"/>
      <c r="E16" s="35"/>
      <c r="F16" s="325">
        <f>'пр к пасп'!I26</f>
        <v>3</v>
      </c>
      <c r="G16" s="325">
        <f>'пр к пасп'!J26</f>
        <v>1</v>
      </c>
      <c r="H16" s="325">
        <f>'пр к пасп'!K26</f>
        <v>1</v>
      </c>
      <c r="I16" s="325">
        <f>'пр к пасп'!L26</f>
        <v>1</v>
      </c>
    </row>
    <row r="17" spans="1:9" s="148" customFormat="1" hidden="1" outlineLevel="1" x14ac:dyDescent="0.25">
      <c r="A17" s="35"/>
      <c r="B17" s="34" t="s">
        <v>124</v>
      </c>
      <c r="C17" s="35"/>
      <c r="D17" s="35"/>
      <c r="E17" s="35"/>
      <c r="F17" s="325">
        <f>'пр к пасп'!I24</f>
        <v>15825</v>
      </c>
      <c r="G17" s="325">
        <f>'пр к пасп'!J24</f>
        <v>15580</v>
      </c>
      <c r="H17" s="325">
        <f>'пр к пасп'!K24</f>
        <v>15581</v>
      </c>
      <c r="I17" s="325">
        <f>'пр к пасп'!L24</f>
        <v>15582</v>
      </c>
    </row>
    <row r="18" spans="1:9" s="148" customFormat="1" hidden="1" outlineLevel="1" x14ac:dyDescent="0.25">
      <c r="A18" s="35"/>
      <c r="B18" s="34" t="s">
        <v>234</v>
      </c>
      <c r="C18" s="35"/>
      <c r="D18" s="35"/>
      <c r="E18" s="35"/>
      <c r="F18" s="325">
        <v>3979</v>
      </c>
      <c r="G18" s="325">
        <f>ROUND(G17/F17*F18,0)</f>
        <v>3917</v>
      </c>
      <c r="H18" s="325">
        <f t="shared" ref="H18:I18" si="1">ROUND(H17/G17*G18,0)</f>
        <v>3917</v>
      </c>
      <c r="I18" s="325">
        <f t="shared" si="1"/>
        <v>3917</v>
      </c>
    </row>
    <row r="19" spans="1:9" s="45" customFormat="1" ht="63" collapsed="1" x14ac:dyDescent="0.25">
      <c r="A19" s="13" t="s">
        <v>83</v>
      </c>
      <c r="B19" s="43" t="s">
        <v>140</v>
      </c>
      <c r="C19" s="42" t="s">
        <v>142</v>
      </c>
      <c r="D19" s="222" t="s">
        <v>145</v>
      </c>
      <c r="E19" s="293"/>
      <c r="F19" s="324">
        <v>3</v>
      </c>
      <c r="G19" s="324">
        <f t="shared" ref="G19:I19" si="2">G16/G18*10000</f>
        <v>2.5529742149604289</v>
      </c>
      <c r="H19" s="324">
        <f t="shared" si="2"/>
        <v>2.5529742149604289</v>
      </c>
      <c r="I19" s="324">
        <f t="shared" si="2"/>
        <v>2.5529742149604289</v>
      </c>
    </row>
    <row r="20" spans="1:9" s="45" customFormat="1" ht="31.5" x14ac:dyDescent="0.25">
      <c r="A20" s="42" t="s">
        <v>85</v>
      </c>
      <c r="B20" s="43" t="s">
        <v>143</v>
      </c>
      <c r="C20" s="42" t="s">
        <v>144</v>
      </c>
      <c r="D20" s="222" t="s">
        <v>145</v>
      </c>
      <c r="E20" s="293"/>
      <c r="F20" s="324">
        <v>0</v>
      </c>
      <c r="G20" s="324">
        <v>0</v>
      </c>
      <c r="H20" s="324">
        <v>0</v>
      </c>
      <c r="I20" s="324">
        <v>0</v>
      </c>
    </row>
    <row r="21" spans="1:9" ht="63" x14ac:dyDescent="0.25">
      <c r="A21" s="253" t="s">
        <v>86</v>
      </c>
      <c r="B21" s="257" t="s">
        <v>306</v>
      </c>
      <c r="C21" s="253" t="s">
        <v>134</v>
      </c>
      <c r="D21" s="253" t="s">
        <v>307</v>
      </c>
      <c r="E21" s="293"/>
      <c r="F21" s="321">
        <v>5</v>
      </c>
      <c r="G21" s="321">
        <v>10</v>
      </c>
      <c r="H21" s="321">
        <v>20</v>
      </c>
      <c r="I21" s="321">
        <v>30</v>
      </c>
    </row>
  </sheetData>
  <mergeCells count="11">
    <mergeCell ref="G1:I1"/>
    <mergeCell ref="A13:I13"/>
    <mergeCell ref="A14:I14"/>
    <mergeCell ref="G4:I4"/>
    <mergeCell ref="A7:I7"/>
    <mergeCell ref="A8:I8"/>
    <mergeCell ref="A10:A11"/>
    <mergeCell ref="B10:B11"/>
    <mergeCell ref="C10:C11"/>
    <mergeCell ref="D10:D11"/>
    <mergeCell ref="F10:I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rowBreaks count="1" manualBreakCount="1">
    <brk id="19" max="8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8"/>
  <sheetViews>
    <sheetView view="pageBreakPreview" topLeftCell="A4" zoomScale="85" zoomScaleNormal="85" zoomScaleSheetLayoutView="85" workbookViewId="0">
      <selection activeCell="B24" sqref="B24:B25"/>
    </sheetView>
  </sheetViews>
  <sheetFormatPr defaultRowHeight="18.75" outlineLevelRow="2" x14ac:dyDescent="0.25"/>
  <cols>
    <col min="1" max="1" width="4.75" style="195" customWidth="1"/>
    <col min="2" max="2" width="38.625" style="21" customWidth="1"/>
    <col min="3" max="3" width="23.5" style="21" customWidth="1"/>
    <col min="4" max="4" width="6.125" style="21" customWidth="1"/>
    <col min="5" max="5" width="6.875" style="21" customWidth="1"/>
    <col min="6" max="6" width="12" style="21" customWidth="1"/>
    <col min="7" max="7" width="5.75" style="21" customWidth="1"/>
    <col min="8" max="8" width="11.375" style="21" customWidth="1"/>
    <col min="9" max="10" width="9.625" style="21" customWidth="1"/>
    <col min="11" max="11" width="17" style="21" customWidth="1"/>
    <col min="12" max="12" width="24.5" style="21" customWidth="1"/>
    <col min="13" max="16384" width="9" style="21"/>
  </cols>
  <sheetData>
    <row r="1" spans="1:12" ht="84" hidden="1" customHeight="1" outlineLevel="1" x14ac:dyDescent="0.3">
      <c r="K1" s="352" t="s">
        <v>251</v>
      </c>
      <c r="L1" s="352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3" t="s">
        <v>204</v>
      </c>
      <c r="L4" s="353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338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10" spans="1:12" s="25" customFormat="1" ht="15.75" x14ac:dyDescent="0.25">
      <c r="A10" s="332" t="s">
        <v>19</v>
      </c>
      <c r="B10" s="332" t="s">
        <v>49</v>
      </c>
      <c r="C10" s="332" t="s">
        <v>25</v>
      </c>
      <c r="D10" s="332" t="s">
        <v>23</v>
      </c>
      <c r="E10" s="332"/>
      <c r="F10" s="332"/>
      <c r="G10" s="332"/>
      <c r="H10" s="332" t="s">
        <v>50</v>
      </c>
      <c r="I10" s="332"/>
      <c r="J10" s="332"/>
      <c r="K10" s="332"/>
      <c r="L10" s="332" t="s">
        <v>51</v>
      </c>
    </row>
    <row r="11" spans="1:12" s="25" customFormat="1" ht="93" customHeight="1" x14ac:dyDescent="0.25">
      <c r="A11" s="332"/>
      <c r="B11" s="332"/>
      <c r="C11" s="332"/>
      <c r="D11" s="194" t="s">
        <v>25</v>
      </c>
      <c r="E11" s="194" t="s">
        <v>26</v>
      </c>
      <c r="F11" s="194" t="s">
        <v>27</v>
      </c>
      <c r="G11" s="194" t="s">
        <v>28</v>
      </c>
      <c r="H11" s="199">
        <v>2021</v>
      </c>
      <c r="I11" s="199">
        <v>2022</v>
      </c>
      <c r="J11" s="199">
        <v>2023</v>
      </c>
      <c r="K11" s="194" t="s">
        <v>52</v>
      </c>
      <c r="L11" s="332"/>
    </row>
    <row r="12" spans="1:12" s="25" customFormat="1" ht="15.75" x14ac:dyDescent="0.25">
      <c r="A12" s="194">
        <v>1</v>
      </c>
      <c r="B12" s="194">
        <v>2</v>
      </c>
      <c r="C12" s="194">
        <v>3</v>
      </c>
      <c r="D12" s="194">
        <v>4</v>
      </c>
      <c r="E12" s="194">
        <v>5</v>
      </c>
      <c r="F12" s="194">
        <v>6</v>
      </c>
      <c r="G12" s="194">
        <v>7</v>
      </c>
      <c r="H12" s="194">
        <v>8</v>
      </c>
      <c r="I12" s="194">
        <v>9</v>
      </c>
      <c r="J12" s="194">
        <v>10</v>
      </c>
      <c r="K12" s="194">
        <v>11</v>
      </c>
      <c r="L12" s="194">
        <v>12</v>
      </c>
    </row>
    <row r="13" spans="1:12" s="26" customFormat="1" ht="18.75" customHeight="1" x14ac:dyDescent="0.25">
      <c r="A13" s="382" t="s">
        <v>167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</row>
    <row r="14" spans="1:12" s="26" customFormat="1" ht="15.75" x14ac:dyDescent="0.25">
      <c r="A14" s="382" t="s">
        <v>168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  <row r="15" spans="1:12" s="27" customFormat="1" ht="32.25" customHeight="1" outlineLevel="2" x14ac:dyDescent="0.25">
      <c r="A15" s="332" t="s">
        <v>3</v>
      </c>
      <c r="B15" s="376" t="s">
        <v>235</v>
      </c>
      <c r="C15" s="376" t="s">
        <v>215</v>
      </c>
      <c r="D15" s="375">
        <v>243</v>
      </c>
      <c r="E15" s="377" t="s">
        <v>213</v>
      </c>
      <c r="F15" s="198" t="s">
        <v>212</v>
      </c>
      <c r="G15" s="375">
        <v>244</v>
      </c>
      <c r="H15" s="154">
        <v>0</v>
      </c>
      <c r="I15" s="154">
        <v>0</v>
      </c>
      <c r="J15" s="154">
        <v>0</v>
      </c>
      <c r="K15" s="154">
        <f>SUM(H15:J15)</f>
        <v>0</v>
      </c>
      <c r="L15" s="332"/>
    </row>
    <row r="16" spans="1:12" s="27" customFormat="1" ht="32.25" customHeight="1" outlineLevel="2" x14ac:dyDescent="0.25">
      <c r="A16" s="332"/>
      <c r="B16" s="376"/>
      <c r="C16" s="376"/>
      <c r="D16" s="375"/>
      <c r="E16" s="377"/>
      <c r="F16" s="198" t="s">
        <v>214</v>
      </c>
      <c r="G16" s="375"/>
      <c r="H16" s="154">
        <v>0</v>
      </c>
      <c r="I16" s="154">
        <v>0</v>
      </c>
      <c r="J16" s="154">
        <v>0</v>
      </c>
      <c r="K16" s="154">
        <f>SUM(H16:J16)</f>
        <v>0</v>
      </c>
      <c r="L16" s="332"/>
    </row>
    <row r="17" spans="1:12" s="27" customFormat="1" ht="15.75" outlineLevel="2" x14ac:dyDescent="0.25">
      <c r="A17" s="332"/>
      <c r="B17" s="376"/>
      <c r="C17" s="156" t="s">
        <v>227</v>
      </c>
      <c r="D17" s="123" t="s">
        <v>30</v>
      </c>
      <c r="E17" s="123" t="s">
        <v>30</v>
      </c>
      <c r="F17" s="123" t="s">
        <v>30</v>
      </c>
      <c r="G17" s="123" t="s">
        <v>30</v>
      </c>
      <c r="H17" s="179">
        <f>H15+H16</f>
        <v>0</v>
      </c>
      <c r="I17" s="179">
        <f t="shared" ref="I17:J17" si="0">I15+I16</f>
        <v>0</v>
      </c>
      <c r="J17" s="179">
        <f t="shared" si="0"/>
        <v>0</v>
      </c>
      <c r="K17" s="179">
        <f t="shared" ref="K17" si="1">SUM(H17:J17)</f>
        <v>0</v>
      </c>
      <c r="L17" s="332"/>
    </row>
    <row r="18" spans="1:12" s="27" customFormat="1" ht="72" customHeight="1" outlineLevel="1" x14ac:dyDescent="0.25">
      <c r="A18" s="332" t="s">
        <v>3</v>
      </c>
      <c r="B18" s="376" t="s">
        <v>283</v>
      </c>
      <c r="C18" s="242" t="s">
        <v>66</v>
      </c>
      <c r="D18" s="243">
        <v>247</v>
      </c>
      <c r="E18" s="244" t="s">
        <v>62</v>
      </c>
      <c r="F18" s="244" t="s">
        <v>284</v>
      </c>
      <c r="G18" s="243">
        <v>540</v>
      </c>
      <c r="H18" s="154">
        <v>378.6</v>
      </c>
      <c r="I18" s="154">
        <v>378.6</v>
      </c>
      <c r="J18" s="154">
        <v>378.6</v>
      </c>
      <c r="K18" s="154">
        <f t="shared" ref="K18" si="2">SUM(H18:J18)</f>
        <v>1135.8000000000002</v>
      </c>
      <c r="L18" s="332"/>
    </row>
    <row r="19" spans="1:12" s="27" customFormat="1" ht="15.75" outlineLevel="1" x14ac:dyDescent="0.25">
      <c r="A19" s="332"/>
      <c r="B19" s="376"/>
      <c r="C19" s="156" t="s">
        <v>265</v>
      </c>
      <c r="D19" s="123" t="s">
        <v>30</v>
      </c>
      <c r="E19" s="123" t="s">
        <v>30</v>
      </c>
      <c r="F19" s="123" t="s">
        <v>30</v>
      </c>
      <c r="G19" s="123" t="s">
        <v>30</v>
      </c>
      <c r="H19" s="179">
        <f>H18</f>
        <v>378.6</v>
      </c>
      <c r="I19" s="179">
        <f t="shared" ref="I19:J19" si="3">I18</f>
        <v>378.6</v>
      </c>
      <c r="J19" s="179">
        <f t="shared" si="3"/>
        <v>378.6</v>
      </c>
      <c r="K19" s="179">
        <f t="shared" ref="K19:K21" si="4">SUM(H19:J19)</f>
        <v>1135.8000000000002</v>
      </c>
      <c r="L19" s="332"/>
    </row>
    <row r="20" spans="1:12" s="27" customFormat="1" ht="63" outlineLevel="1" x14ac:dyDescent="0.25">
      <c r="A20" s="332" t="s">
        <v>83</v>
      </c>
      <c r="B20" s="376" t="s">
        <v>254</v>
      </c>
      <c r="C20" s="196" t="s">
        <v>255</v>
      </c>
      <c r="D20" s="197">
        <v>244</v>
      </c>
      <c r="E20" s="198" t="s">
        <v>62</v>
      </c>
      <c r="F20" s="198" t="s">
        <v>256</v>
      </c>
      <c r="G20" s="197">
        <v>244</v>
      </c>
      <c r="H20" s="154">
        <v>0</v>
      </c>
      <c r="I20" s="154">
        <v>0</v>
      </c>
      <c r="J20" s="154">
        <v>0</v>
      </c>
      <c r="K20" s="154">
        <f t="shared" si="4"/>
        <v>0</v>
      </c>
      <c r="L20" s="194"/>
    </row>
    <row r="21" spans="1:12" s="27" customFormat="1" ht="15.75" outlineLevel="1" x14ac:dyDescent="0.25">
      <c r="A21" s="332"/>
      <c r="B21" s="376"/>
      <c r="C21" s="156" t="s">
        <v>265</v>
      </c>
      <c r="D21" s="123" t="s">
        <v>30</v>
      </c>
      <c r="E21" s="123" t="s">
        <v>30</v>
      </c>
      <c r="F21" s="123" t="s">
        <v>30</v>
      </c>
      <c r="G21" s="123" t="s">
        <v>30</v>
      </c>
      <c r="H21" s="179">
        <f>H20</f>
        <v>0</v>
      </c>
      <c r="I21" s="179">
        <f t="shared" ref="I21:J23" si="5">I20</f>
        <v>0</v>
      </c>
      <c r="J21" s="179">
        <f t="shared" si="5"/>
        <v>0</v>
      </c>
      <c r="K21" s="179">
        <f t="shared" si="4"/>
        <v>0</v>
      </c>
      <c r="L21" s="194"/>
    </row>
    <row r="22" spans="1:12" s="27" customFormat="1" ht="63" outlineLevel="1" x14ac:dyDescent="0.25">
      <c r="A22" s="380" t="s">
        <v>85</v>
      </c>
      <c r="B22" s="378" t="s">
        <v>291</v>
      </c>
      <c r="C22" s="261" t="s">
        <v>66</v>
      </c>
      <c r="D22" s="265" t="s">
        <v>292</v>
      </c>
      <c r="E22" s="265" t="s">
        <v>62</v>
      </c>
      <c r="F22" s="265" t="s">
        <v>293</v>
      </c>
      <c r="G22" s="265" t="s">
        <v>294</v>
      </c>
      <c r="H22" s="299">
        <v>0</v>
      </c>
      <c r="I22" s="299">
        <v>0</v>
      </c>
      <c r="J22" s="299">
        <v>0</v>
      </c>
      <c r="K22" s="299">
        <f>J22+I22+H22</f>
        <v>0</v>
      </c>
      <c r="L22" s="251"/>
    </row>
    <row r="23" spans="1:12" s="27" customFormat="1" ht="15.75" outlineLevel="1" x14ac:dyDescent="0.25">
      <c r="A23" s="381"/>
      <c r="B23" s="379"/>
      <c r="C23" s="156" t="s">
        <v>265</v>
      </c>
      <c r="D23" s="123" t="s">
        <v>30</v>
      </c>
      <c r="E23" s="123" t="s">
        <v>30</v>
      </c>
      <c r="F23" s="123" t="s">
        <v>30</v>
      </c>
      <c r="G23" s="123" t="s">
        <v>30</v>
      </c>
      <c r="H23" s="316">
        <f>H22</f>
        <v>0</v>
      </c>
      <c r="I23" s="316">
        <f t="shared" si="5"/>
        <v>0</v>
      </c>
      <c r="J23" s="316">
        <f t="shared" si="5"/>
        <v>0</v>
      </c>
      <c r="K23" s="316">
        <f t="shared" ref="K23" si="6">SUM(H23:J23)</f>
        <v>0</v>
      </c>
      <c r="L23" s="251"/>
    </row>
    <row r="24" spans="1:12" x14ac:dyDescent="0.25">
      <c r="A24" s="119"/>
      <c r="B24" s="120" t="s">
        <v>119</v>
      </c>
      <c r="C24" s="119" t="s">
        <v>30</v>
      </c>
      <c r="D24" s="119" t="s">
        <v>30</v>
      </c>
      <c r="E24" s="119" t="s">
        <v>30</v>
      </c>
      <c r="F24" s="119" t="s">
        <v>30</v>
      </c>
      <c r="G24" s="119" t="s">
        <v>30</v>
      </c>
      <c r="H24" s="317">
        <f>H17+H19+H21+H23</f>
        <v>378.6</v>
      </c>
      <c r="I24" s="317">
        <f t="shared" ref="I24:K24" si="7">I17+I19+I21+I23</f>
        <v>378.6</v>
      </c>
      <c r="J24" s="317">
        <f t="shared" si="7"/>
        <v>378.6</v>
      </c>
      <c r="K24" s="317">
        <f t="shared" si="7"/>
        <v>1135.8000000000002</v>
      </c>
      <c r="L24" s="119" t="s">
        <v>30</v>
      </c>
    </row>
    <row r="27" spans="1:12" x14ac:dyDescent="0.25">
      <c r="H27" s="41">
        <f>H18/1000</f>
        <v>0.37860000000000005</v>
      </c>
      <c r="I27" s="41">
        <f>I18/1000</f>
        <v>0.37860000000000005</v>
      </c>
      <c r="J27" s="41">
        <f>J18/1000</f>
        <v>0.37860000000000005</v>
      </c>
      <c r="K27" s="41">
        <f>K18/1000</f>
        <v>1.1358000000000001</v>
      </c>
    </row>
    <row r="28" spans="1:12" x14ac:dyDescent="0.25">
      <c r="H28" s="41">
        <f>H24/1000</f>
        <v>0.37860000000000005</v>
      </c>
      <c r="I28" s="41">
        <f t="shared" ref="I28:K28" si="8">I24/1000</f>
        <v>0.37860000000000005</v>
      </c>
      <c r="J28" s="41">
        <f t="shared" si="8"/>
        <v>0.37860000000000005</v>
      </c>
      <c r="K28" s="41">
        <f t="shared" si="8"/>
        <v>1.1358000000000001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12"/>
  <sheetViews>
    <sheetView view="pageBreakPreview" zoomScaleNormal="70" zoomScaleSheetLayoutView="100" workbookViewId="0">
      <selection activeCell="I20" sqref="I20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336" t="s">
        <v>205</v>
      </c>
      <c r="G1" s="336"/>
      <c r="H1" s="336"/>
    </row>
    <row r="2" spans="1:8" ht="18.75" x14ac:dyDescent="0.25">
      <c r="A2" s="49"/>
    </row>
    <row r="3" spans="1:8" ht="18.75" x14ac:dyDescent="0.25">
      <c r="A3" s="49"/>
    </row>
    <row r="4" spans="1:8" ht="18.75" x14ac:dyDescent="0.25">
      <c r="A4" s="339" t="s">
        <v>1</v>
      </c>
      <c r="B4" s="339"/>
      <c r="C4" s="339"/>
      <c r="D4" s="339"/>
      <c r="E4" s="339"/>
      <c r="F4" s="339"/>
      <c r="G4" s="339"/>
      <c r="H4" s="339"/>
    </row>
    <row r="5" spans="1:8" ht="48" customHeight="1" x14ac:dyDescent="0.25">
      <c r="A5" s="342" t="s">
        <v>160</v>
      </c>
      <c r="B5" s="339"/>
      <c r="C5" s="339"/>
      <c r="D5" s="339"/>
      <c r="E5" s="339"/>
      <c r="F5" s="339"/>
      <c r="G5" s="339"/>
      <c r="H5" s="339"/>
    </row>
    <row r="6" spans="1:8" ht="18.75" x14ac:dyDescent="0.25">
      <c r="A6" s="49"/>
    </row>
    <row r="7" spans="1:8" x14ac:dyDescent="0.25">
      <c r="A7" s="326" t="s">
        <v>19</v>
      </c>
      <c r="B7" s="326" t="s">
        <v>46</v>
      </c>
      <c r="C7" s="326" t="s">
        <v>2</v>
      </c>
      <c r="D7" s="326" t="s">
        <v>47</v>
      </c>
      <c r="E7" s="326" t="s">
        <v>48</v>
      </c>
      <c r="F7" s="326"/>
      <c r="G7" s="326"/>
      <c r="H7" s="326"/>
    </row>
    <row r="8" spans="1:8" x14ac:dyDescent="0.25">
      <c r="A8" s="326"/>
      <c r="B8" s="326"/>
      <c r="C8" s="326"/>
      <c r="D8" s="326"/>
      <c r="E8" s="193">
        <v>2020</v>
      </c>
      <c r="F8" s="193">
        <v>2021</v>
      </c>
      <c r="G8" s="193">
        <v>2022</v>
      </c>
      <c r="H8" s="193">
        <v>2023</v>
      </c>
    </row>
    <row r="9" spans="1:8" x14ac:dyDescent="0.25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</row>
    <row r="10" spans="1:8" ht="36" customHeight="1" x14ac:dyDescent="0.25">
      <c r="A10" s="383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83"/>
      <c r="C10" s="383"/>
      <c r="D10" s="383"/>
      <c r="E10" s="383"/>
      <c r="F10" s="383"/>
      <c r="G10" s="383"/>
      <c r="H10" s="383"/>
    </row>
    <row r="11" spans="1:8" ht="20.25" customHeight="1" x14ac:dyDescent="0.25">
      <c r="A11" s="383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83"/>
      <c r="C11" s="383"/>
      <c r="D11" s="383"/>
      <c r="E11" s="383"/>
      <c r="F11" s="383"/>
      <c r="G11" s="383"/>
      <c r="H11" s="383"/>
    </row>
    <row r="12" spans="1:8" s="14" customFormat="1" ht="82.5" customHeight="1" x14ac:dyDescent="0.25">
      <c r="A12" s="53" t="s">
        <v>3</v>
      </c>
      <c r="B12" s="75" t="s">
        <v>240</v>
      </c>
      <c r="C12" s="74" t="s">
        <v>73</v>
      </c>
      <c r="D12" s="53" t="s">
        <v>206</v>
      </c>
      <c r="E12" s="150">
        <v>1</v>
      </c>
      <c r="F12" s="150">
        <v>1</v>
      </c>
      <c r="G12" s="150">
        <f t="shared" ref="G12:H12" si="0">F12</f>
        <v>1</v>
      </c>
      <c r="H12" s="150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S25"/>
  <sheetViews>
    <sheetView view="pageBreakPreview" topLeftCell="A4" zoomScale="70" zoomScaleNormal="100" zoomScaleSheetLayoutView="70" workbookViewId="0">
      <selection activeCell="I20" sqref="I20"/>
    </sheetView>
  </sheetViews>
  <sheetFormatPr defaultRowHeight="18.75" outlineLevelRow="1" x14ac:dyDescent="0.25"/>
  <cols>
    <col min="1" max="1" width="4.75" style="21" customWidth="1"/>
    <col min="2" max="2" width="49.625" style="21" customWidth="1"/>
    <col min="3" max="3" width="24.75" style="21" customWidth="1"/>
    <col min="4" max="5" width="7.375" style="21" customWidth="1"/>
    <col min="6" max="6" width="21" style="21" customWidth="1"/>
    <col min="7" max="7" width="5.75" style="21" customWidth="1"/>
    <col min="8" max="9" width="15.25" style="21" bestFit="1" customWidth="1"/>
    <col min="10" max="10" width="13.75" style="21" bestFit="1" customWidth="1"/>
    <col min="11" max="11" width="20" style="21" customWidth="1"/>
    <col min="12" max="12" width="24.5" style="21" customWidth="1"/>
    <col min="13" max="16384" width="9" style="21"/>
  </cols>
  <sheetData>
    <row r="1" spans="1:12" ht="84" hidden="1" customHeight="1" outlineLevel="1" x14ac:dyDescent="0.3">
      <c r="K1" s="352" t="s">
        <v>251</v>
      </c>
      <c r="L1" s="352"/>
    </row>
    <row r="2" spans="1:12" hidden="1" outlineLevel="1" x14ac:dyDescent="0.25"/>
    <row r="3" spans="1:12" hidden="1" outlineLevel="1" x14ac:dyDescent="0.25"/>
    <row r="4" spans="1:12" ht="63" customHeight="1" collapsed="1" x14ac:dyDescent="0.25">
      <c r="K4" s="353" t="s">
        <v>207</v>
      </c>
      <c r="L4" s="353"/>
    </row>
    <row r="5" spans="1:12" x14ac:dyDescent="0.25">
      <c r="A5" s="22"/>
    </row>
    <row r="6" spans="1:12" x14ac:dyDescent="0.25">
      <c r="A6" s="22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171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9" spans="1:12" x14ac:dyDescent="0.25">
      <c r="A9" s="22"/>
    </row>
    <row r="10" spans="1:12" s="25" customFormat="1" ht="15.75" x14ac:dyDescent="0.25">
      <c r="A10" s="332" t="s">
        <v>19</v>
      </c>
      <c r="B10" s="332" t="s">
        <v>49</v>
      </c>
      <c r="C10" s="332" t="s">
        <v>25</v>
      </c>
      <c r="D10" s="332" t="s">
        <v>23</v>
      </c>
      <c r="E10" s="332"/>
      <c r="F10" s="332"/>
      <c r="G10" s="332"/>
      <c r="H10" s="332" t="s">
        <v>50</v>
      </c>
      <c r="I10" s="332"/>
      <c r="J10" s="332"/>
      <c r="K10" s="332"/>
      <c r="L10" s="332" t="s">
        <v>51</v>
      </c>
    </row>
    <row r="11" spans="1:12" s="25" customFormat="1" ht="93" customHeight="1" x14ac:dyDescent="0.25">
      <c r="A11" s="332"/>
      <c r="B11" s="332"/>
      <c r="C11" s="332"/>
      <c r="D11" s="188" t="s">
        <v>25</v>
      </c>
      <c r="E11" s="188" t="s">
        <v>26</v>
      </c>
      <c r="F11" s="188" t="s">
        <v>27</v>
      </c>
      <c r="G11" s="188" t="s">
        <v>28</v>
      </c>
      <c r="H11" s="199">
        <v>2021</v>
      </c>
      <c r="I11" s="199">
        <v>2022</v>
      </c>
      <c r="J11" s="199">
        <v>2023</v>
      </c>
      <c r="K11" s="188" t="s">
        <v>52</v>
      </c>
      <c r="L11" s="332"/>
    </row>
    <row r="12" spans="1:12" s="25" customFormat="1" ht="15.75" x14ac:dyDescent="0.25">
      <c r="A12" s="188">
        <v>1</v>
      </c>
      <c r="B12" s="188">
        <v>2</v>
      </c>
      <c r="C12" s="188">
        <v>3</v>
      </c>
      <c r="D12" s="188">
        <v>4</v>
      </c>
      <c r="E12" s="188">
        <v>5</v>
      </c>
      <c r="F12" s="188">
        <v>6</v>
      </c>
      <c r="G12" s="188">
        <v>7</v>
      </c>
      <c r="H12" s="188">
        <v>8</v>
      </c>
      <c r="I12" s="188">
        <v>9</v>
      </c>
      <c r="J12" s="188">
        <v>10</v>
      </c>
      <c r="K12" s="188">
        <v>11</v>
      </c>
      <c r="L12" s="188">
        <v>12</v>
      </c>
    </row>
    <row r="13" spans="1:12" s="26" customFormat="1" ht="18.75" customHeight="1" x14ac:dyDescent="0.25">
      <c r="A13" s="363" t="s">
        <v>169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5"/>
    </row>
    <row r="14" spans="1:12" s="26" customFormat="1" ht="18" customHeight="1" x14ac:dyDescent="0.25">
      <c r="A14" s="363" t="s">
        <v>170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5"/>
    </row>
    <row r="15" spans="1:12" s="27" customFormat="1" ht="67.5" customHeight="1" x14ac:dyDescent="0.25">
      <c r="A15" s="343" t="s">
        <v>3</v>
      </c>
      <c r="B15" s="346" t="s">
        <v>239</v>
      </c>
      <c r="C15" s="188" t="s">
        <v>65</v>
      </c>
      <c r="D15" s="188">
        <v>241</v>
      </c>
      <c r="E15" s="138" t="s">
        <v>67</v>
      </c>
      <c r="F15" s="192" t="s">
        <v>195</v>
      </c>
      <c r="G15" s="188">
        <v>244</v>
      </c>
      <c r="H15" s="252">
        <v>10600</v>
      </c>
      <c r="I15" s="252">
        <v>10600</v>
      </c>
      <c r="J15" s="252">
        <f>I15</f>
        <v>10600</v>
      </c>
      <c r="K15" s="72">
        <f t="shared" ref="K15:K16" si="0">SUM(H15:J15)</f>
        <v>31800</v>
      </c>
      <c r="L15" s="343" t="s">
        <v>146</v>
      </c>
    </row>
    <row r="16" spans="1:12" s="27" customFormat="1" ht="15.75" x14ac:dyDescent="0.25">
      <c r="A16" s="345"/>
      <c r="B16" s="347"/>
      <c r="C16" s="156" t="s">
        <v>265</v>
      </c>
      <c r="D16" s="123" t="s">
        <v>30</v>
      </c>
      <c r="E16" s="123" t="s">
        <v>30</v>
      </c>
      <c r="F16" s="123" t="s">
        <v>30</v>
      </c>
      <c r="G16" s="123" t="s">
        <v>30</v>
      </c>
      <c r="H16" s="124">
        <f>H15</f>
        <v>10600</v>
      </c>
      <c r="I16" s="124">
        <f t="shared" ref="I16:J16" si="1">I15</f>
        <v>10600</v>
      </c>
      <c r="J16" s="124">
        <f t="shared" si="1"/>
        <v>10600</v>
      </c>
      <c r="K16" s="139">
        <f t="shared" si="0"/>
        <v>31800</v>
      </c>
      <c r="L16" s="345"/>
    </row>
    <row r="17" spans="1:19" s="27" customFormat="1" ht="33.75" customHeight="1" outlineLevel="1" x14ac:dyDescent="0.25">
      <c r="A17" s="343" t="s">
        <v>83</v>
      </c>
      <c r="B17" s="346" t="s">
        <v>245</v>
      </c>
      <c r="C17" s="343" t="s">
        <v>94</v>
      </c>
      <c r="D17" s="343">
        <v>242</v>
      </c>
      <c r="E17" s="354" t="s">
        <v>246</v>
      </c>
      <c r="F17" s="192" t="s">
        <v>316</v>
      </c>
      <c r="G17" s="343">
        <v>244</v>
      </c>
      <c r="H17" s="252">
        <v>0</v>
      </c>
      <c r="I17" s="296"/>
      <c r="J17" s="296"/>
      <c r="K17" s="297">
        <f t="shared" ref="K17:K19" si="2">SUM(H17:J17)</f>
        <v>0</v>
      </c>
      <c r="L17" s="343" t="s">
        <v>146</v>
      </c>
    </row>
    <row r="18" spans="1:19" s="27" customFormat="1" ht="33.75" customHeight="1" outlineLevel="1" x14ac:dyDescent="0.25">
      <c r="A18" s="344"/>
      <c r="B18" s="350"/>
      <c r="C18" s="345"/>
      <c r="D18" s="345"/>
      <c r="E18" s="355"/>
      <c r="F18" s="192" t="s">
        <v>317</v>
      </c>
      <c r="G18" s="345"/>
      <c r="H18" s="252">
        <v>0</v>
      </c>
      <c r="I18" s="296"/>
      <c r="J18" s="296"/>
      <c r="K18" s="297">
        <f t="shared" si="2"/>
        <v>0</v>
      </c>
      <c r="L18" s="344"/>
    </row>
    <row r="19" spans="1:19" s="27" customFormat="1" ht="15.75" outlineLevel="1" x14ac:dyDescent="0.25">
      <c r="A19" s="345"/>
      <c r="B19" s="347"/>
      <c r="C19" s="123" t="s">
        <v>227</v>
      </c>
      <c r="D19" s="123" t="s">
        <v>30</v>
      </c>
      <c r="E19" s="123" t="s">
        <v>30</v>
      </c>
      <c r="F19" s="123" t="s">
        <v>30</v>
      </c>
      <c r="G19" s="123" t="s">
        <v>30</v>
      </c>
      <c r="H19" s="124">
        <f>H17+H18</f>
        <v>0</v>
      </c>
      <c r="I19" s="124">
        <f t="shared" ref="I19:J19" si="3">I17+I18</f>
        <v>0</v>
      </c>
      <c r="J19" s="124">
        <f t="shared" si="3"/>
        <v>0</v>
      </c>
      <c r="K19" s="139">
        <f t="shared" si="2"/>
        <v>0</v>
      </c>
      <c r="L19" s="345"/>
    </row>
    <row r="20" spans="1:19" x14ac:dyDescent="0.25">
      <c r="A20" s="119"/>
      <c r="B20" s="120" t="s">
        <v>119</v>
      </c>
      <c r="C20" s="119" t="s">
        <v>30</v>
      </c>
      <c r="D20" s="119" t="s">
        <v>30</v>
      </c>
      <c r="E20" s="119" t="s">
        <v>30</v>
      </c>
      <c r="F20" s="119" t="s">
        <v>30</v>
      </c>
      <c r="G20" s="119" t="s">
        <v>30</v>
      </c>
      <c r="H20" s="121">
        <f>H16+H19</f>
        <v>10600</v>
      </c>
      <c r="I20" s="121">
        <f t="shared" ref="I20:J20" si="4">I16+I19</f>
        <v>10600</v>
      </c>
      <c r="J20" s="121">
        <f t="shared" si="4"/>
        <v>10600</v>
      </c>
      <c r="K20" s="121">
        <f>SUM(H20:J20)</f>
        <v>31800</v>
      </c>
      <c r="L20" s="140" t="s">
        <v>30</v>
      </c>
      <c r="S20" s="21" t="s">
        <v>223</v>
      </c>
    </row>
    <row r="21" spans="1:19" x14ac:dyDescent="0.25">
      <c r="H21" s="117"/>
    </row>
    <row r="22" spans="1:19" x14ac:dyDescent="0.25">
      <c r="H22" s="117"/>
    </row>
    <row r="25" spans="1:19" x14ac:dyDescent="0.25">
      <c r="F25" s="115"/>
      <c r="G25" s="115"/>
      <c r="H25" s="116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  <mergeCell ref="L10:L11"/>
    <mergeCell ref="A10:A11"/>
    <mergeCell ref="B10:B11"/>
    <mergeCell ref="C10:C11"/>
    <mergeCell ref="D10:G10"/>
    <mergeCell ref="H10:K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20</vt:i4>
      </vt:variant>
    </vt:vector>
  </HeadingPairs>
  <TitlesOfParts>
    <vt:vector size="36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 6 к МП</vt:lpstr>
      <vt:lpstr>пр 7 к МП</vt:lpstr>
      <vt:lpstr>пп1</vt:lpstr>
      <vt:lpstr>пп2</vt:lpstr>
      <vt:lpstr>пп3</vt:lpstr>
      <vt:lpstr>пп4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пасп ПП3'!Область_печати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2020-11-17T05:15:25Z</cp:lastPrinted>
  <dcterms:created xsi:type="dcterms:W3CDTF">2016-10-20T04:37:12Z</dcterms:created>
  <dcterms:modified xsi:type="dcterms:W3CDTF">2020-11-20T09:31:53Z</dcterms:modified>
</cp:coreProperties>
</file>