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УПРАВЛЕНИЕ ДЕЛАМИ\УПРАВЛЕНИЕ ДЕЛАМИ 2019\Муниципальные программы проекты на 2020-2022 год\869-п     09    от 30.10.2019 транспорт на 2020\"/>
    </mc:Choice>
  </mc:AlternateContent>
  <bookViews>
    <workbookView xWindow="0" yWindow="0" windowWidth="38400" windowHeight="10815" tabRatio="899" activeTab="4"/>
  </bookViews>
  <sheets>
    <sheet name="пр к пасп" sheetId="2" r:id="rId1"/>
    <sheet name="пр к пасп ПП1" sheetId="7" r:id="rId2"/>
    <sheet name="пр к ПП1" sheetId="8" r:id="rId3"/>
    <sheet name="пр к пасп ПП2" sheetId="18" r:id="rId4"/>
    <sheet name="пр к ПП2" sheetId="15" r:id="rId5"/>
    <sheet name="пр к пасп ПП3" sheetId="19" r:id="rId6"/>
    <sheet name="пр к ПП3" sheetId="16" r:id="rId7"/>
    <sheet name="пр к пасп ПП4" sheetId="20" r:id="rId8"/>
    <sheet name="пр к ПП4" sheetId="17" r:id="rId9"/>
    <sheet name="пр 5 к МП" sheetId="3" r:id="rId10"/>
    <sheet name="пр 6 к МП" sheetId="5" r:id="rId11"/>
    <sheet name="пр 7 к МП" sheetId="6" r:id="rId12"/>
    <sheet name="пп1" sheetId="22" r:id="rId13"/>
    <sheet name="пп2" sheetId="21" r:id="rId14"/>
    <sheet name="пп3" sheetId="24" r:id="rId15"/>
    <sheet name="пп4" sheetId="25" r:id="rId16"/>
  </sheets>
  <definedNames>
    <definedName name="_xlnm._FilterDatabase" localSheetId="2" hidden="1">'пр к ПП1'!$A$10:$L$22</definedName>
    <definedName name="_xlnm._FilterDatabase" localSheetId="4" hidden="1">'пр к ПП2'!$A$10:$L$17</definedName>
    <definedName name="_xlnm._FilterDatabase" localSheetId="6" hidden="1">'пр к ПП3'!$A$10:$L$14</definedName>
    <definedName name="_xlnm._FilterDatabase" localSheetId="8" hidden="1">'пр к ПП4'!$A$10:$L$14</definedName>
    <definedName name="_xlnm.Print_Titles" localSheetId="9">'пр 5 к МП'!$11:$12</definedName>
    <definedName name="_xlnm.Print_Titles" localSheetId="10">'пр 6 к МП'!$14:$16</definedName>
    <definedName name="_xlnm.Print_Titles" localSheetId="11">'пр 7 к МП'!$16:$18</definedName>
    <definedName name="_xlnm.Print_Titles" localSheetId="0">'пр к пасп'!$13:$16</definedName>
    <definedName name="_xlnm.Print_Titles" localSheetId="1">'пр к пасп ПП1'!$11:$13</definedName>
    <definedName name="_xlnm.Print_Titles" localSheetId="3">'пр к пасп ПП2'!$10:$12</definedName>
    <definedName name="_xlnm.Print_Titles" localSheetId="5">'пр к пасп ПП3'!$10:$12</definedName>
    <definedName name="_xlnm.Print_Titles" localSheetId="7">'пр к пасп ПП4'!$7:$9</definedName>
    <definedName name="_xlnm.Print_Titles" localSheetId="2">'пр к ПП1'!$10:$12</definedName>
    <definedName name="_xlnm.Print_Titles" localSheetId="6">'пр к ПП3'!$10:$11</definedName>
    <definedName name="_xlnm.Print_Area" localSheetId="10">'пр 6 к МП'!$A$1:$L$39</definedName>
    <definedName name="_xlnm.Print_Area" localSheetId="11">'пр 7 к МП'!$A$1:$Q$53</definedName>
    <definedName name="_xlnm.Print_Area" localSheetId="0">'пр к пасп'!$A$1:$O$29</definedName>
    <definedName name="_xlnm.Print_Area" localSheetId="1">'пр к пасп ПП1'!$A$4:$H$18</definedName>
    <definedName name="_xlnm.Print_Area" localSheetId="3">'пр к пасп ПП2'!$A$1:$H$17</definedName>
    <definedName name="_xlnm.Print_Area" localSheetId="2">'пр к ПП1'!$A$1:$L$31</definedName>
    <definedName name="_xlnm.Print_Area" localSheetId="4">'пр к ПП2'!$A$4:$L$27</definedName>
    <definedName name="_xlnm.Print_Area" localSheetId="6">'пр к ПП3'!$A$1:$L$22</definedName>
    <definedName name="_xlnm.Print_Area" localSheetId="8">'пр к ПП4'!$A$1:$L$25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12" i="15" l="1"/>
  <c r="U27" i="15" l="1"/>
  <c r="T27" i="15"/>
  <c r="S27" i="15"/>
  <c r="V26" i="15"/>
  <c r="V27" i="15" s="1"/>
  <c r="U24" i="15"/>
  <c r="T24" i="15"/>
  <c r="S24" i="15"/>
  <c r="V24" i="15" s="1"/>
  <c r="V23" i="15"/>
  <c r="U22" i="15"/>
  <c r="T22" i="15"/>
  <c r="S22" i="15"/>
  <c r="V21" i="15"/>
  <c r="S19" i="15"/>
  <c r="T18" i="15"/>
  <c r="T19" i="15" s="1"/>
  <c r="S17" i="15"/>
  <c r="T16" i="15"/>
  <c r="U12" i="15"/>
  <c r="S12" i="15"/>
  <c r="V22" i="15" l="1"/>
  <c r="U18" i="15"/>
  <c r="V18" i="15" s="1"/>
  <c r="T17" i="15"/>
  <c r="U19" i="15"/>
  <c r="V19" i="15" s="1"/>
  <c r="U16" i="15"/>
  <c r="U17" i="15" s="1"/>
  <c r="S28" i="15"/>
  <c r="I26" i="15"/>
  <c r="J26" i="15"/>
  <c r="H26" i="15"/>
  <c r="K25" i="15"/>
  <c r="K26" i="15" s="1"/>
  <c r="V16" i="15" l="1"/>
  <c r="T28" i="15"/>
  <c r="V17" i="15"/>
  <c r="V28" i="15" s="1"/>
  <c r="U28" i="15"/>
  <c r="M28" i="2"/>
  <c r="M26" i="2"/>
  <c r="K50" i="6" l="1"/>
  <c r="K51" i="6"/>
  <c r="J22" i="6"/>
  <c r="J21" i="6"/>
  <c r="J24" i="6"/>
  <c r="J25" i="6"/>
  <c r="J33" i="6"/>
  <c r="J44" i="6"/>
  <c r="J23" i="6" s="1"/>
  <c r="J47" i="6"/>
  <c r="H11" i="8"/>
  <c r="I11" i="8"/>
  <c r="J11" i="8"/>
  <c r="J40" i="6" l="1"/>
  <c r="J26" i="6"/>
  <c r="J19" i="6" s="1"/>
  <c r="C19" i="6"/>
  <c r="B6" i="25" l="1"/>
  <c r="G25" i="22"/>
  <c r="H25" i="22"/>
  <c r="G23" i="22"/>
  <c r="H23" i="22"/>
  <c r="G24" i="22"/>
  <c r="H24" i="22"/>
  <c r="H9" i="24" l="1"/>
  <c r="H10" i="24"/>
  <c r="E8" i="24"/>
  <c r="B11" i="24"/>
  <c r="G9" i="22"/>
  <c r="H9" i="22"/>
  <c r="H53" i="22"/>
  <c r="G53" i="22"/>
  <c r="F53" i="22"/>
  <c r="G42" i="22"/>
  <c r="H42" i="22"/>
  <c r="F42" i="22"/>
  <c r="N14" i="22"/>
  <c r="G14" i="22" s="1"/>
  <c r="O14" i="22"/>
  <c r="H14" i="22" s="1"/>
  <c r="N15" i="22"/>
  <c r="G15" i="22" s="1"/>
  <c r="O15" i="22"/>
  <c r="H15" i="22" s="1"/>
  <c r="N16" i="22"/>
  <c r="G16" i="22" s="1"/>
  <c r="O16" i="22"/>
  <c r="H16" i="22" s="1"/>
  <c r="N17" i="22"/>
  <c r="G17" i="22" s="1"/>
  <c r="O17" i="22"/>
  <c r="H17" i="22" s="1"/>
  <c r="N18" i="22"/>
  <c r="G18" i="22" s="1"/>
  <c r="O18" i="22"/>
  <c r="H18" i="22" s="1"/>
  <c r="N19" i="22"/>
  <c r="G19" i="22" s="1"/>
  <c r="O19" i="22"/>
  <c r="H19" i="22" s="1"/>
  <c r="N20" i="22"/>
  <c r="G20" i="22" s="1"/>
  <c r="O20" i="22"/>
  <c r="H20" i="22" s="1"/>
  <c r="M15" i="22"/>
  <c r="M16" i="22"/>
  <c r="M17" i="22"/>
  <c r="M18" i="22"/>
  <c r="M19" i="22"/>
  <c r="M20" i="22"/>
  <c r="M14" i="22"/>
  <c r="M7" i="22"/>
  <c r="M8" i="22"/>
  <c r="M9" i="22"/>
  <c r="M10" i="22"/>
  <c r="M11" i="22"/>
  <c r="M12" i="22"/>
  <c r="N6" i="22"/>
  <c r="G6" i="22" s="1"/>
  <c r="O6" i="22"/>
  <c r="H6" i="22" s="1"/>
  <c r="N7" i="22"/>
  <c r="G7" i="22" s="1"/>
  <c r="O7" i="22"/>
  <c r="H7" i="22" s="1"/>
  <c r="N8" i="22"/>
  <c r="G8" i="22" s="1"/>
  <c r="O8" i="22"/>
  <c r="H8" i="22" s="1"/>
  <c r="N9" i="22"/>
  <c r="O9" i="22"/>
  <c r="N10" i="22"/>
  <c r="G10" i="22" s="1"/>
  <c r="O10" i="22"/>
  <c r="H10" i="22" s="1"/>
  <c r="N11" i="22"/>
  <c r="G11" i="22" s="1"/>
  <c r="O11" i="22"/>
  <c r="H11" i="22" s="1"/>
  <c r="N12" i="22"/>
  <c r="G12" i="22" s="1"/>
  <c r="O12" i="22"/>
  <c r="H12" i="22" s="1"/>
  <c r="M6" i="22"/>
  <c r="F24" i="22"/>
  <c r="F23" i="22"/>
  <c r="C25" i="22"/>
  <c r="C23" i="22"/>
  <c r="C22" i="22"/>
  <c r="C21" i="22"/>
  <c r="C13" i="22"/>
  <c r="C5" i="22"/>
  <c r="G5" i="22" l="1"/>
  <c r="H5" i="22"/>
  <c r="H13" i="22"/>
  <c r="G13" i="22"/>
  <c r="O13" i="22"/>
  <c r="N13" i="22"/>
  <c r="O5" i="22"/>
  <c r="N5" i="22"/>
  <c r="L29" i="6" l="1"/>
  <c r="M29" i="6"/>
  <c r="K30" i="6"/>
  <c r="K29" i="6"/>
  <c r="I26" i="5"/>
  <c r="K29" i="8" l="1"/>
  <c r="H30" i="8"/>
  <c r="I30" i="8"/>
  <c r="J30" i="8"/>
  <c r="I26" i="8"/>
  <c r="J26" i="8"/>
  <c r="H26" i="8"/>
  <c r="K25" i="8"/>
  <c r="I24" i="22" s="1"/>
  <c r="K30" i="8" l="1"/>
  <c r="I20" i="8"/>
  <c r="J20" i="8" l="1"/>
  <c r="K26" i="5" s="1"/>
  <c r="J26" i="5"/>
  <c r="H47" i="6"/>
  <c r="E10" i="21" l="1"/>
  <c r="E11" i="21"/>
  <c r="E12" i="21"/>
  <c r="E9" i="21"/>
  <c r="F7" i="21"/>
  <c r="G7" i="21"/>
  <c r="E8" i="21" l="1"/>
  <c r="F25" i="22"/>
  <c r="J28" i="8"/>
  <c r="I28" i="8"/>
  <c r="H28" i="8"/>
  <c r="K27" i="8"/>
  <c r="I25" i="22" s="1"/>
  <c r="K28" i="8" l="1"/>
  <c r="L30" i="6" l="1"/>
  <c r="J25" i="5"/>
  <c r="J19" i="8"/>
  <c r="I17" i="15"/>
  <c r="J17" i="15" s="1"/>
  <c r="I15" i="15"/>
  <c r="J15" i="15" s="1"/>
  <c r="F15" i="18"/>
  <c r="G15" i="18" s="1"/>
  <c r="H15" i="18" s="1"/>
  <c r="M30" i="6" l="1"/>
  <c r="K25" i="5"/>
  <c r="F17" i="19"/>
  <c r="E17" i="19"/>
  <c r="F16" i="19"/>
  <c r="G16" i="19"/>
  <c r="H16" i="19"/>
  <c r="E16" i="19"/>
  <c r="I15" i="17"/>
  <c r="J15" i="17" s="1"/>
  <c r="P53" i="6" l="1"/>
  <c r="P52" i="6"/>
  <c r="P49" i="6"/>
  <c r="P48" i="6"/>
  <c r="P46" i="6"/>
  <c r="P45" i="6"/>
  <c r="P42" i="6"/>
  <c r="P41" i="6"/>
  <c r="P39" i="6"/>
  <c r="P38" i="6"/>
  <c r="P36" i="6"/>
  <c r="P35" i="6"/>
  <c r="P34" i="6"/>
  <c r="P32" i="6"/>
  <c r="P31" i="6"/>
  <c r="P28" i="6"/>
  <c r="P27" i="6"/>
  <c r="J11" i="15"/>
  <c r="I11" i="15"/>
  <c r="H11" i="15"/>
  <c r="J11" i="16"/>
  <c r="I11" i="16"/>
  <c r="H11" i="16"/>
  <c r="I11" i="17"/>
  <c r="J11" i="17"/>
  <c r="H11" i="17"/>
  <c r="J14" i="5"/>
  <c r="G4" i="22" s="1"/>
  <c r="K14" i="5"/>
  <c r="H4" i="22" s="1"/>
  <c r="I14" i="5"/>
  <c r="F4" i="22" s="1"/>
  <c r="L21" i="6"/>
  <c r="M21" i="6"/>
  <c r="L24" i="6"/>
  <c r="M24" i="6"/>
  <c r="L25" i="6"/>
  <c r="M25" i="6"/>
  <c r="L43" i="6"/>
  <c r="M43" i="6"/>
  <c r="L44" i="6"/>
  <c r="M44" i="6"/>
  <c r="L50" i="6"/>
  <c r="M50" i="6"/>
  <c r="L51" i="6"/>
  <c r="M51" i="6"/>
  <c r="K44" i="6"/>
  <c r="K43" i="6"/>
  <c r="N53" i="6"/>
  <c r="N52" i="6"/>
  <c r="N49" i="6"/>
  <c r="N46" i="6"/>
  <c r="N45" i="6"/>
  <c r="N42" i="6"/>
  <c r="N39" i="6"/>
  <c r="N38" i="6"/>
  <c r="N36" i="6"/>
  <c r="N35" i="6"/>
  <c r="N32" i="6"/>
  <c r="N31" i="6"/>
  <c r="N28" i="6"/>
  <c r="F11" i="18"/>
  <c r="G11" i="18"/>
  <c r="H11" i="18"/>
  <c r="E11" i="18"/>
  <c r="F18" i="7"/>
  <c r="G18" i="7" s="1"/>
  <c r="H18" i="7" s="1"/>
  <c r="F17" i="7"/>
  <c r="G17" i="7" s="1"/>
  <c r="H17" i="7" s="1"/>
  <c r="F16" i="7"/>
  <c r="G16" i="7" s="1"/>
  <c r="H16" i="7" s="1"/>
  <c r="N4" i="22" l="1"/>
  <c r="F4" i="24"/>
  <c r="G34" i="22"/>
  <c r="G45" i="22" s="1"/>
  <c r="M4" i="22"/>
  <c r="E4" i="24"/>
  <c r="F34" i="22"/>
  <c r="F45" i="22" s="1"/>
  <c r="O4" i="22"/>
  <c r="G4" i="24"/>
  <c r="H34" i="22"/>
  <c r="H45" i="22" s="1"/>
  <c r="N51" i="6"/>
  <c r="L47" i="6"/>
  <c r="M47" i="6"/>
  <c r="M22" i="6"/>
  <c r="N43" i="6"/>
  <c r="N44" i="6"/>
  <c r="L22" i="6"/>
  <c r="N30" i="6"/>
  <c r="M40" i="6"/>
  <c r="L40" i="6"/>
  <c r="M26" i="6"/>
  <c r="N50" i="6"/>
  <c r="N29" i="6"/>
  <c r="L26" i="6"/>
  <c r="F15" i="21" l="1"/>
  <c r="G15" i="21"/>
  <c r="E15" i="21"/>
  <c r="B15" i="21"/>
  <c r="J31" i="5" l="1"/>
  <c r="K31" i="5"/>
  <c r="I31" i="5"/>
  <c r="J23" i="15"/>
  <c r="I23" i="15"/>
  <c r="H23" i="15"/>
  <c r="K22" i="15"/>
  <c r="H15" i="21" s="1"/>
  <c r="K23" i="15" l="1"/>
  <c r="L31" i="5"/>
  <c r="F6" i="25" l="1"/>
  <c r="G6" i="25"/>
  <c r="K19" i="2" l="1"/>
  <c r="L19" i="2" s="1"/>
  <c r="M19" i="2" s="1"/>
  <c r="K18" i="2"/>
  <c r="L18" i="2" s="1"/>
  <c r="N18" i="2" l="1"/>
  <c r="O18" i="2" s="1"/>
  <c r="N19" i="2"/>
  <c r="O19" i="2" s="1"/>
  <c r="G21" i="2"/>
  <c r="J21" i="16" l="1"/>
  <c r="I21" i="16"/>
  <c r="H21" i="16"/>
  <c r="K20" i="16"/>
  <c r="K21" i="16" l="1"/>
  <c r="E8" i="25"/>
  <c r="E7" i="25"/>
  <c r="E6" i="25" l="1"/>
  <c r="E7" i="21"/>
  <c r="H7" i="21" s="1"/>
  <c r="P51" i="6"/>
  <c r="P50" i="6"/>
  <c r="P30" i="6"/>
  <c r="J39" i="5"/>
  <c r="K39" i="5"/>
  <c r="K18" i="17" l="1"/>
  <c r="H8" i="25" s="1"/>
  <c r="H19" i="17"/>
  <c r="I39" i="5" s="1"/>
  <c r="L39" i="5" s="1"/>
  <c r="K24" i="8"/>
  <c r="I23" i="22" s="1"/>
  <c r="K17" i="17" l="1"/>
  <c r="H7" i="25" s="1"/>
  <c r="H6" i="25" s="1"/>
  <c r="J19" i="17"/>
  <c r="I19" i="17"/>
  <c r="K26" i="8"/>
  <c r="K19" i="17" l="1"/>
  <c r="P29" i="6"/>
  <c r="F16" i="18" l="1"/>
  <c r="G16" i="18" s="1"/>
  <c r="H16" i="18" s="1"/>
  <c r="F8" i="24" l="1"/>
  <c r="G8" i="24"/>
  <c r="F6" i="24"/>
  <c r="G6" i="24"/>
  <c r="F7" i="24"/>
  <c r="G7" i="24"/>
  <c r="E7" i="24"/>
  <c r="E6" i="24"/>
  <c r="H7" i="24" l="1"/>
  <c r="F5" i="24"/>
  <c r="F12" i="24" s="1"/>
  <c r="H6" i="24"/>
  <c r="G5" i="24"/>
  <c r="G12" i="24" s="1"/>
  <c r="E5" i="24"/>
  <c r="E12" i="24" s="1"/>
  <c r="H8" i="24"/>
  <c r="I19" i="16" l="1"/>
  <c r="J19" i="16"/>
  <c r="H19" i="16"/>
  <c r="I17" i="16"/>
  <c r="J17" i="16"/>
  <c r="H17" i="16"/>
  <c r="H22" i="16" l="1"/>
  <c r="I22" i="16"/>
  <c r="K17" i="16"/>
  <c r="K19" i="16"/>
  <c r="J22" i="16"/>
  <c r="E14" i="24" l="1"/>
  <c r="E15" i="24" s="1"/>
  <c r="I32" i="5"/>
  <c r="F14" i="24"/>
  <c r="F15" i="24" s="1"/>
  <c r="L61" i="6"/>
  <c r="L67" i="6"/>
  <c r="M61" i="6"/>
  <c r="M67" i="6"/>
  <c r="K22" i="16"/>
  <c r="G14" i="24"/>
  <c r="G15" i="24" s="1"/>
  <c r="H21" i="6"/>
  <c r="H22" i="6"/>
  <c r="H23" i="6"/>
  <c r="H24" i="6"/>
  <c r="H25" i="6"/>
  <c r="H40" i="6"/>
  <c r="H33" i="6"/>
  <c r="H26" i="6"/>
  <c r="H14" i="24" l="1"/>
  <c r="H15" i="24" s="1"/>
  <c r="H19" i="6"/>
  <c r="F18" i="19" l="1"/>
  <c r="F19" i="19" s="1"/>
  <c r="H16" i="17"/>
  <c r="H20" i="17" s="1"/>
  <c r="H18" i="15"/>
  <c r="I16" i="15"/>
  <c r="H16" i="15"/>
  <c r="I16" i="8"/>
  <c r="J16" i="8"/>
  <c r="I18" i="8"/>
  <c r="J18" i="8"/>
  <c r="I23" i="8"/>
  <c r="J23" i="8"/>
  <c r="H23" i="8"/>
  <c r="H21" i="8"/>
  <c r="H18" i="8"/>
  <c r="H16" i="8"/>
  <c r="H33" i="8" l="1"/>
  <c r="H31" i="8"/>
  <c r="H34" i="8" s="1"/>
  <c r="I21" i="8"/>
  <c r="I31" i="8" s="1"/>
  <c r="K20" i="15"/>
  <c r="J21" i="15"/>
  <c r="I21" i="15"/>
  <c r="H21" i="15"/>
  <c r="I29" i="5" s="1"/>
  <c r="J16" i="15"/>
  <c r="H27" i="15" l="1"/>
  <c r="K37" i="6"/>
  <c r="K16" i="15"/>
  <c r="L59" i="6"/>
  <c r="L65" i="6"/>
  <c r="K21" i="15"/>
  <c r="I18" i="15"/>
  <c r="J21" i="8"/>
  <c r="J31" i="8" s="1"/>
  <c r="E5" i="25"/>
  <c r="E9" i="25" s="1"/>
  <c r="J29" i="5" l="1"/>
  <c r="I27" i="15"/>
  <c r="L37" i="6"/>
  <c r="K33" i="6"/>
  <c r="M65" i="6"/>
  <c r="M59" i="6"/>
  <c r="O67" i="6"/>
  <c r="O66" i="6"/>
  <c r="O61" i="6"/>
  <c r="O60" i="6"/>
  <c r="K23" i="8"/>
  <c r="K22" i="8"/>
  <c r="K20" i="8"/>
  <c r="I38" i="5"/>
  <c r="I19" i="5" s="1"/>
  <c r="L33" i="6" l="1"/>
  <c r="L23" i="6"/>
  <c r="I36" i="5"/>
  <c r="I51" i="5" s="1"/>
  <c r="L19" i="6" l="1"/>
  <c r="L66" i="6"/>
  <c r="L60" i="6"/>
  <c r="I57" i="5"/>
  <c r="F5" i="25"/>
  <c r="F9" i="25" s="1"/>
  <c r="I16" i="17"/>
  <c r="I20" i="17" s="1"/>
  <c r="J38" i="5"/>
  <c r="L62" i="6" l="1"/>
  <c r="L68" i="6"/>
  <c r="J36" i="5"/>
  <c r="J57" i="5" s="1"/>
  <c r="J19" i="5"/>
  <c r="G5" i="25"/>
  <c r="G9" i="25" s="1"/>
  <c r="K38" i="5"/>
  <c r="J16" i="17"/>
  <c r="J20" i="17" s="1"/>
  <c r="K15" i="17"/>
  <c r="F20" i="22"/>
  <c r="F19" i="22"/>
  <c r="F18" i="22"/>
  <c r="F17" i="22"/>
  <c r="F16" i="22"/>
  <c r="F15" i="22"/>
  <c r="F14" i="22"/>
  <c r="F7" i="22"/>
  <c r="F8" i="22"/>
  <c r="F9" i="22"/>
  <c r="F10" i="22"/>
  <c r="F11" i="22"/>
  <c r="F12" i="22"/>
  <c r="F6" i="22"/>
  <c r="P20" i="22"/>
  <c r="P19" i="22"/>
  <c r="P18" i="22"/>
  <c r="P17" i="22"/>
  <c r="P16" i="22"/>
  <c r="P15" i="22"/>
  <c r="P14" i="22"/>
  <c r="M13" i="22"/>
  <c r="P12" i="22"/>
  <c r="P11" i="22"/>
  <c r="P10" i="22"/>
  <c r="P9" i="22"/>
  <c r="P8" i="22"/>
  <c r="P7" i="22"/>
  <c r="M5" i="22"/>
  <c r="M68" i="6" l="1"/>
  <c r="M62" i="6"/>
  <c r="K36" i="5"/>
  <c r="K57" i="5" s="1"/>
  <c r="I7" i="22"/>
  <c r="I11" i="22"/>
  <c r="I6" i="22"/>
  <c r="K16" i="17"/>
  <c r="J51" i="5"/>
  <c r="H5" i="25"/>
  <c r="H9" i="25" s="1"/>
  <c r="P5" i="22"/>
  <c r="P13" i="22"/>
  <c r="E22" i="6"/>
  <c r="G28" i="22" l="1"/>
  <c r="I10" i="22"/>
  <c r="K51" i="5"/>
  <c r="F5" i="21" l="1"/>
  <c r="G5" i="21"/>
  <c r="E5" i="21"/>
  <c r="E16" i="21" s="1"/>
  <c r="E19" i="21" s="1"/>
  <c r="G6" i="21" l="1"/>
  <c r="F6" i="21"/>
  <c r="E6" i="21"/>
  <c r="H5" i="21"/>
  <c r="B8" i="24"/>
  <c r="B5" i="24"/>
  <c r="F14" i="21"/>
  <c r="G14" i="21"/>
  <c r="E14" i="21"/>
  <c r="F13" i="21"/>
  <c r="G13" i="21"/>
  <c r="E13" i="21"/>
  <c r="B14" i="21"/>
  <c r="B13" i="21"/>
  <c r="F5" i="22"/>
  <c r="P44" i="6"/>
  <c r="P43" i="6"/>
  <c r="H6" i="21" l="1"/>
  <c r="K40" i="6"/>
  <c r="H5" i="24"/>
  <c r="H12" i="24" s="1"/>
  <c r="I40" i="6"/>
  <c r="H14" i="21"/>
  <c r="H13" i="21"/>
  <c r="E30" i="5"/>
  <c r="E39" i="5" s="1"/>
  <c r="E35" i="5"/>
  <c r="J34" i="5"/>
  <c r="J21" i="5" s="1"/>
  <c r="K34" i="5"/>
  <c r="K21" i="5" s="1"/>
  <c r="J35" i="5"/>
  <c r="J22" i="5" s="1"/>
  <c r="K35" i="5"/>
  <c r="K22" i="5" s="1"/>
  <c r="I35" i="5"/>
  <c r="I22" i="5" s="1"/>
  <c r="J30" i="5"/>
  <c r="J27" i="5" s="1"/>
  <c r="K30" i="5"/>
  <c r="I30" i="5"/>
  <c r="I27" i="5" s="1"/>
  <c r="K18" i="16"/>
  <c r="K16" i="16"/>
  <c r="K15" i="16"/>
  <c r="K67" i="6" l="1"/>
  <c r="K61" i="6"/>
  <c r="N40" i="6"/>
  <c r="I55" i="5"/>
  <c r="I67" i="6"/>
  <c r="L22" i="5"/>
  <c r="J32" i="5"/>
  <c r="K32" i="5"/>
  <c r="L35" i="5"/>
  <c r="L30" i="5"/>
  <c r="N61" i="6" l="1"/>
  <c r="N67" i="6"/>
  <c r="I49" i="5"/>
  <c r="J56" i="5"/>
  <c r="J50" i="5"/>
  <c r="K56" i="5"/>
  <c r="K50" i="5"/>
  <c r="V22" i="2" l="1"/>
  <c r="T22" i="2"/>
  <c r="K22" i="6" l="1"/>
  <c r="N22" i="6" s="1"/>
  <c r="I23" i="6" l="1"/>
  <c r="I21" i="6"/>
  <c r="G22" i="6" l="1"/>
  <c r="G23" i="6"/>
  <c r="F22" i="6" l="1"/>
  <c r="F23" i="6"/>
  <c r="E23" i="6" l="1"/>
  <c r="E26" i="6"/>
  <c r="G12" i="20" l="1"/>
  <c r="H12" i="20" s="1"/>
  <c r="H28" i="22" l="1"/>
  <c r="F28" i="22"/>
  <c r="G22" i="22"/>
  <c r="H22" i="22"/>
  <c r="F22" i="22"/>
  <c r="F21" i="22"/>
  <c r="I20" i="22"/>
  <c r="I19" i="22"/>
  <c r="I18" i="22"/>
  <c r="I17" i="22"/>
  <c r="I16" i="22"/>
  <c r="I15" i="22"/>
  <c r="I14" i="22"/>
  <c r="F13" i="22"/>
  <c r="I12" i="22"/>
  <c r="I9" i="22"/>
  <c r="I8" i="22"/>
  <c r="F26" i="22" l="1"/>
  <c r="I28" i="22"/>
  <c r="G29" i="22"/>
  <c r="G30" i="22" s="1"/>
  <c r="K15" i="8"/>
  <c r="K17" i="8"/>
  <c r="H29" i="22"/>
  <c r="H30" i="22" s="1"/>
  <c r="F29" i="22"/>
  <c r="F30" i="22" s="1"/>
  <c r="G21" i="22"/>
  <c r="G26" i="22" s="1"/>
  <c r="I5" i="22"/>
  <c r="F9" i="21"/>
  <c r="G9" i="21" s="1"/>
  <c r="F10" i="21"/>
  <c r="F11" i="21"/>
  <c r="G11" i="21" s="1"/>
  <c r="F12" i="21"/>
  <c r="G12" i="21" s="1"/>
  <c r="A15" i="7"/>
  <c r="A14" i="7"/>
  <c r="G10" i="21" l="1"/>
  <c r="G8" i="21" s="1"/>
  <c r="G16" i="21" s="1"/>
  <c r="F8" i="21"/>
  <c r="H9" i="21"/>
  <c r="H12" i="21"/>
  <c r="H11" i="21"/>
  <c r="K21" i="8"/>
  <c r="K19" i="8"/>
  <c r="K18" i="8"/>
  <c r="K16" i="8"/>
  <c r="I22" i="6"/>
  <c r="P22" i="6" s="1"/>
  <c r="I26" i="6"/>
  <c r="H21" i="22"/>
  <c r="T24" i="2"/>
  <c r="T23" i="2"/>
  <c r="F22" i="2"/>
  <c r="S24" i="2"/>
  <c r="E22" i="2"/>
  <c r="S23" i="2"/>
  <c r="U24" i="2" l="1"/>
  <c r="H26" i="22"/>
  <c r="I13" i="22"/>
  <c r="K31" i="8"/>
  <c r="H10" i="21"/>
  <c r="H8" i="21"/>
  <c r="H16" i="21" s="1"/>
  <c r="F16" i="21"/>
  <c r="F19" i="21" s="1"/>
  <c r="H17" i="19"/>
  <c r="H15" i="19" s="1"/>
  <c r="G17" i="19"/>
  <c r="J22" i="2"/>
  <c r="H21" i="2"/>
  <c r="U23" i="2"/>
  <c r="U22" i="2" s="1"/>
  <c r="S22" i="2" s="1"/>
  <c r="I65" i="6"/>
  <c r="I21" i="22"/>
  <c r="G15" i="19" l="1"/>
  <c r="G18" i="19"/>
  <c r="G19" i="19" s="1"/>
  <c r="E19" i="2"/>
  <c r="D19" i="2" s="1"/>
  <c r="E18" i="2"/>
  <c r="D18" i="2" s="1"/>
  <c r="B26" i="3"/>
  <c r="H18" i="19" l="1"/>
  <c r="H19" i="19" s="1"/>
  <c r="B27" i="2"/>
  <c r="B25" i="2"/>
  <c r="K23" i="2" l="1"/>
  <c r="L23" i="2" s="1"/>
  <c r="J21" i="2"/>
  <c r="I25" i="16"/>
  <c r="J25" i="16"/>
  <c r="H25" i="16"/>
  <c r="K22" i="2" l="1"/>
  <c r="K21" i="2" s="1"/>
  <c r="N23" i="2"/>
  <c r="H29" i="15"/>
  <c r="L22" i="2" l="1"/>
  <c r="L21" i="2" s="1"/>
  <c r="M21" i="2" s="1"/>
  <c r="O23" i="2"/>
  <c r="N22" i="2"/>
  <c r="K26" i="7"/>
  <c r="O22" i="2" l="1"/>
  <c r="O21" i="2" s="1"/>
  <c r="N21" i="2"/>
  <c r="G47" i="6"/>
  <c r="F47" i="6"/>
  <c r="E47" i="6"/>
  <c r="G40" i="6"/>
  <c r="F40" i="6"/>
  <c r="E40" i="6"/>
  <c r="G33" i="6"/>
  <c r="F33" i="6"/>
  <c r="E33" i="6"/>
  <c r="G26" i="6"/>
  <c r="F26" i="6"/>
  <c r="E21" i="6"/>
  <c r="F21" i="6"/>
  <c r="G21" i="6"/>
  <c r="E24" i="6"/>
  <c r="F24" i="6"/>
  <c r="G24" i="6"/>
  <c r="E25" i="6"/>
  <c r="F25" i="6"/>
  <c r="G25" i="6"/>
  <c r="P40" i="6" l="1"/>
  <c r="G19" i="6"/>
  <c r="E19" i="6"/>
  <c r="F19" i="6"/>
  <c r="E34" i="5" l="1"/>
  <c r="B17" i="2"/>
  <c r="B20" i="2"/>
  <c r="E21" i="2"/>
  <c r="F21" i="2"/>
  <c r="I21" i="2"/>
  <c r="D21" i="2"/>
  <c r="A14" i="19"/>
  <c r="A13" i="19"/>
  <c r="A14" i="18"/>
  <c r="A13" i="18"/>
  <c r="K5" i="6"/>
  <c r="J5" i="5"/>
  <c r="I26" i="16"/>
  <c r="J26" i="16"/>
  <c r="H26" i="16"/>
  <c r="B21" i="3"/>
  <c r="D2" i="3"/>
  <c r="A9" i="3"/>
  <c r="B15" i="3"/>
  <c r="B31" i="3"/>
  <c r="K26" i="16" l="1"/>
  <c r="I47" i="6" l="1"/>
  <c r="K26" i="6"/>
  <c r="N26" i="6" s="1"/>
  <c r="K25" i="6"/>
  <c r="N25" i="6" s="1"/>
  <c r="I25" i="6"/>
  <c r="P25" i="6" s="1"/>
  <c r="K24" i="6"/>
  <c r="N24" i="6" s="1"/>
  <c r="I24" i="6"/>
  <c r="K21" i="6"/>
  <c r="C47" i="6"/>
  <c r="C40" i="6"/>
  <c r="C33" i="6"/>
  <c r="C26" i="6"/>
  <c r="E29" i="5"/>
  <c r="E38" i="5" s="1"/>
  <c r="E26" i="5"/>
  <c r="E31" i="5" s="1"/>
  <c r="E25" i="5"/>
  <c r="I34" i="5"/>
  <c r="I21" i="5" s="1"/>
  <c r="J20" i="5"/>
  <c r="J17" i="5" s="1"/>
  <c r="K20" i="5"/>
  <c r="I25" i="5"/>
  <c r="I20" i="5" s="1"/>
  <c r="L18" i="5"/>
  <c r="L24" i="5"/>
  <c r="L28" i="5"/>
  <c r="L33" i="5"/>
  <c r="L37" i="5"/>
  <c r="P24" i="6" l="1"/>
  <c r="N21" i="6"/>
  <c r="P21" i="6"/>
  <c r="P26" i="6"/>
  <c r="Q26" i="6" s="1"/>
  <c r="K59" i="6"/>
  <c r="I17" i="5"/>
  <c r="K65" i="6"/>
  <c r="I68" i="6"/>
  <c r="Q40" i="6"/>
  <c r="I23" i="5"/>
  <c r="I48" i="5" s="1"/>
  <c r="K23" i="5"/>
  <c r="J23" i="5"/>
  <c r="L20" i="5"/>
  <c r="L34" i="5"/>
  <c r="L26" i="5"/>
  <c r="L25" i="5"/>
  <c r="A11" i="20"/>
  <c r="A10" i="20"/>
  <c r="K25" i="16"/>
  <c r="H30" i="15"/>
  <c r="I29" i="22"/>
  <c r="N65" i="6" l="1"/>
  <c r="N59" i="6"/>
  <c r="I50" i="5"/>
  <c r="I56" i="5"/>
  <c r="K54" i="5"/>
  <c r="K48" i="5"/>
  <c r="J54" i="5"/>
  <c r="J48" i="5"/>
  <c r="I54" i="5"/>
  <c r="I29" i="15"/>
  <c r="I22" i="22"/>
  <c r="I26" i="22" s="1"/>
  <c r="I30" i="22"/>
  <c r="K23" i="6"/>
  <c r="H31" i="15"/>
  <c r="L23" i="5"/>
  <c r="L21" i="5"/>
  <c r="L32" i="5"/>
  <c r="J55" i="5" l="1"/>
  <c r="J49" i="5"/>
  <c r="O59" i="6"/>
  <c r="O65" i="6"/>
  <c r="O40" i="6"/>
  <c r="L56" i="5"/>
  <c r="L50" i="5"/>
  <c r="O26" i="6"/>
  <c r="L54" i="5"/>
  <c r="L48" i="5"/>
  <c r="I30" i="15"/>
  <c r="L38" i="5"/>
  <c r="L36" i="5" s="1"/>
  <c r="K20" i="17"/>
  <c r="J29" i="15"/>
  <c r="K47" i="6"/>
  <c r="P47" i="6" s="1"/>
  <c r="I33" i="6"/>
  <c r="I31" i="15"/>
  <c r="K15" i="15"/>
  <c r="K68" i="6" l="1"/>
  <c r="K62" i="6"/>
  <c r="N47" i="6"/>
  <c r="L51" i="5"/>
  <c r="J30" i="15"/>
  <c r="J18" i="15"/>
  <c r="K17" i="15"/>
  <c r="K30" i="15" s="1"/>
  <c r="I19" i="6"/>
  <c r="I66" i="6"/>
  <c r="L57" i="5"/>
  <c r="K29" i="15"/>
  <c r="Q47" i="6"/>
  <c r="K18" i="15" l="1"/>
  <c r="M37" i="6"/>
  <c r="J27" i="15"/>
  <c r="G19" i="21" s="1"/>
  <c r="K29" i="5"/>
  <c r="K27" i="5" s="1"/>
  <c r="L27" i="5" s="1"/>
  <c r="N68" i="6"/>
  <c r="N62" i="6"/>
  <c r="K19" i="5"/>
  <c r="K17" i="5" s="1"/>
  <c r="L17" i="5" s="1"/>
  <c r="K66" i="6"/>
  <c r="K60" i="6"/>
  <c r="K19" i="6"/>
  <c r="O47" i="6"/>
  <c r="J31" i="15" l="1"/>
  <c r="L29" i="5"/>
  <c r="M33" i="6"/>
  <c r="M23" i="6"/>
  <c r="P37" i="6"/>
  <c r="N37" i="6"/>
  <c r="K27" i="15"/>
  <c r="H19" i="21" s="1"/>
  <c r="K55" i="5"/>
  <c r="K49" i="5"/>
  <c r="L19" i="5"/>
  <c r="L49" i="5"/>
  <c r="O62" i="6"/>
  <c r="O68" i="6"/>
  <c r="L55" i="5" l="1"/>
  <c r="K31" i="15"/>
  <c r="N23" i="6"/>
  <c r="P23" i="6"/>
  <c r="M19" i="6"/>
  <c r="M60" i="6"/>
  <c r="M66" i="6"/>
  <c r="P33" i="6"/>
  <c r="Q33" i="6" s="1"/>
  <c r="N33" i="6"/>
  <c r="O33" i="6" s="1"/>
  <c r="N60" i="6" l="1"/>
  <c r="N66" i="6"/>
  <c r="N19" i="6"/>
  <c r="O19" i="6" s="1"/>
  <c r="P19" i="6"/>
  <c r="Q19" i="6" s="1"/>
</calcChain>
</file>

<file path=xl/sharedStrings.xml><?xml version="1.0" encoding="utf-8"?>
<sst xmlns="http://schemas.openxmlformats.org/spreadsheetml/2006/main" count="850" uniqueCount="297">
  <si>
    <t>ИНФОРМАЦИЯ</t>
  </si>
  <si>
    <t>ПЕРЕЧЕНЬ</t>
  </si>
  <si>
    <t>Единица измерения</t>
  </si>
  <si>
    <t>1.1.</t>
  </si>
  <si>
    <t>Цели, целевые показатели муниципальной программы Туруханского района</t>
  </si>
  <si>
    <t>Годы реализации муниципальной программы Туруханского района</t>
  </si>
  <si>
    <t>годы до конца реализации муниципальной программы Туруханского района в пятилетнем интервале</t>
  </si>
  <si>
    <t>с указанием планируемых к достижению значений</t>
  </si>
  <si>
    <t>в результате реализации муниципальной программы Туруханского района</t>
  </si>
  <si>
    <t>целевых показателей муниципальной программы Туруханского района</t>
  </si>
  <si>
    <t>Приложение</t>
  </si>
  <si>
    <t>Форма нормативного правового акта</t>
  </si>
  <si>
    <t>Основные положения нормативного правового акта</t>
  </si>
  <si>
    <t>Ответственный исполнитель</t>
  </si>
  <si>
    <t>Ожидаемый срок принятия нормативного правового акта</t>
  </si>
  <si>
    <t>Подпрограмма 1</t>
  </si>
  <si>
    <t>об основных мерах правового регулирования в соответствующей</t>
  </si>
  <si>
    <t>сфере (области) муниципального управления, направленных</t>
  </si>
  <si>
    <t>на достижение цели и (или) задач муниципальной программы</t>
  </si>
  <si>
    <t>№ п/п</t>
  </si>
  <si>
    <t>в том числе:</t>
  </si>
  <si>
    <t>внебюджетные источники</t>
  </si>
  <si>
    <t>Наименование главного распорядителя бюджетных средств (далее - ГРБС)</t>
  </si>
  <si>
    <t>Код бюджетной классификации</t>
  </si>
  <si>
    <t>Итого на очередной финансовый год и плановый период</t>
  </si>
  <si>
    <t>ГРБС</t>
  </si>
  <si>
    <t>РзПр</t>
  </si>
  <si>
    <t>ЦСР</t>
  </si>
  <si>
    <t>ВР</t>
  </si>
  <si>
    <t>план</t>
  </si>
  <si>
    <t>Х</t>
  </si>
  <si>
    <t>в том числе по ГРБС:</t>
  </si>
  <si>
    <t>всего расходные обязательства</t>
  </si>
  <si>
    <t>Статус (муниципальная программа Туруханского района, подпрограмма)</t>
  </si>
  <si>
    <t>Наименование муниципальной программы Туруханского района, подпрограммы</t>
  </si>
  <si>
    <t>всего расходные обязательства по подпрограмме муниципальной программы Туруханского района</t>
  </si>
  <si>
    <t>внебюджетных фондов</t>
  </si>
  <si>
    <t>всего</t>
  </si>
  <si>
    <t>Уровень бюджетной системы / источники финансирования</t>
  </si>
  <si>
    <t>Муниципальная программа Туруханского района</t>
  </si>
  <si>
    <t>районный бюджет</t>
  </si>
  <si>
    <t>об источниках финансирования подпрограмм, отдельных</t>
  </si>
  <si>
    <t>мероприятий муниципальной программы Туруханского района</t>
  </si>
  <si>
    <t xml:space="preserve">(средства районного бюджета, в том числе средства, </t>
  </si>
  <si>
    <t>поступившие из бюджетов других уровней бюджетной системы,</t>
  </si>
  <si>
    <t>бюджетов государственных внебюджетных фондов)</t>
  </si>
  <si>
    <t>Цель, показатели результативности</t>
  </si>
  <si>
    <t>Источник информации</t>
  </si>
  <si>
    <t>Годы реализации подпрограммы</t>
  </si>
  <si>
    <t>Цели, задачи, мероприятия подпрограммы</t>
  </si>
  <si>
    <t>Расходы по годам реализации программы (тыс. руб.)</t>
  </si>
  <si>
    <t>Ожидаемый непосредственный результат (краткое описание) от реализации подпрограммного мероприятия (в том числе в натуральном выражении)</t>
  </si>
  <si>
    <t>итого на очередной финансовый год и плановый период</t>
  </si>
  <si>
    <t>2017 год</t>
  </si>
  <si>
    <t>2018 год</t>
  </si>
  <si>
    <t>2019 год</t>
  </si>
  <si>
    <t>2014 год</t>
  </si>
  <si>
    <t>2015 год</t>
  </si>
  <si>
    <t>2020 год</t>
  </si>
  <si>
    <t>2025 год</t>
  </si>
  <si>
    <t>2030 год</t>
  </si>
  <si>
    <t>2016 год</t>
  </si>
  <si>
    <t>0409</t>
  </si>
  <si>
    <t>мероприятий подпрограммы 1 «Развитие транспортного комплекса, обеспечение сохранности и модернизации автомобильных дорог Туруханского района»</t>
  </si>
  <si>
    <t>0408</t>
  </si>
  <si>
    <t>Администрация Туруханского района</t>
  </si>
  <si>
    <t>Управление ЖКХ и строительства администрации Туруханского района</t>
  </si>
  <si>
    <t>мероприятий подпрограммы 3 «Безопасность дорожного движения в Туруханском районе»</t>
  </si>
  <si>
    <t>0113</t>
  </si>
  <si>
    <t xml:space="preserve">Протяженность отремонтированных автомобильных дорог общего пользования местного значения </t>
  </si>
  <si>
    <t>км</t>
  </si>
  <si>
    <t>мониторинг и прогноз СЭР МО</t>
  </si>
  <si>
    <t>Протяженность дорог общего пользования, работы по содержанию которых выполняются в объеме действующих нормативов</t>
  </si>
  <si>
    <t>отчетность организаций</t>
  </si>
  <si>
    <t>да - 1, 
нет - 0</t>
  </si>
  <si>
    <t>отчетность исполнителя</t>
  </si>
  <si>
    <t>Функционирование ледовой переправы</t>
  </si>
  <si>
    <t>и значения показателей результативности подпрограммы 2 
«Организация транспортного обслуживания  на территории Туруханского района»</t>
  </si>
  <si>
    <t>тыс. чел.</t>
  </si>
  <si>
    <t>отчетность исполнителя программных мероприятий</t>
  </si>
  <si>
    <t>тыс.чел.</t>
  </si>
  <si>
    <t>и значения показателей результативности подпрограммы 3 
«Безопасность дорожного движения в Туруханском районе»</t>
  </si>
  <si>
    <t xml:space="preserve">Число лиц, погибших в дорожно-транспортных происшествиях </t>
  </si>
  <si>
    <t>чел.</t>
  </si>
  <si>
    <t>1.2.</t>
  </si>
  <si>
    <t>2.1.</t>
  </si>
  <si>
    <t>1.3.</t>
  </si>
  <si>
    <t>1.4.</t>
  </si>
  <si>
    <t>ед.</t>
  </si>
  <si>
    <t>Количество телефонизированных населенных пунктов</t>
  </si>
  <si>
    <t>2013 год</t>
  </si>
  <si>
    <t>Подпрограмма 2</t>
  </si>
  <si>
    <t>Подпрограмма 3</t>
  </si>
  <si>
    <t>Подпрограмма 4</t>
  </si>
  <si>
    <t>администрация Туруханского района</t>
  </si>
  <si>
    <t>Территориальное управление администрации Туруханского района</t>
  </si>
  <si>
    <t>«Развитие транспортного комплекса, обеспечение сохранности и модернизации автомобильных дорог 
Туруханского района»</t>
  </si>
  <si>
    <t>и значения показателей результативности подпрограммы 1</t>
  </si>
  <si>
    <t>Организация транспортного обслуживания  на территории Туруханского района</t>
  </si>
  <si>
    <t>Безопасность дорожного движения в Туруханском районе</t>
  </si>
  <si>
    <t>федеральный бюджет</t>
  </si>
  <si>
    <t>краевой бюджет</t>
  </si>
  <si>
    <t>бюджеты муниципальных образований Туруханского района</t>
  </si>
  <si>
    <t>Развитие транспортной системы и связи Туруханского района</t>
  </si>
  <si>
    <t>всего расходные обязательства по муниципальной программе Туруханского района</t>
  </si>
  <si>
    <t>Предоставление субсидии на возмещение части затрат по перевозке пассажиров авиатранспортом</t>
  </si>
  <si>
    <t>Предоставление субсидии на возмещение части затрат по перевозке пассажиров автомобильным транспортом</t>
  </si>
  <si>
    <t>Расходы на содержание дороги Туруханск - Селиваниха и дорог межселенной территории (дорожный фонд)</t>
  </si>
  <si>
    <t>Устройство и содержание ледовой переправы для передвижения с островной на материковую часть г. Игарка (дорожный фонд)</t>
  </si>
  <si>
    <t>постановление</t>
  </si>
  <si>
    <t>утверждение положения о порядке предоставления и возврата субсидий организациям воздушного транспорта на компенсацию расходов, возникающих в результате государственного регулирования тарифов при осуществлении регулярных пассажирских перевозок на территории Туруханского района;
положения о порядке проведения конкурсного отбора организаций воздушного транспорта на право получения субсидий на компенсацию расходов, возникающих в результате государственного регулирования тарифов при осуществлении регулярных пассажирских перевозок на территории Туруханского района;
норматива субсидирования в расчете на один час налета воздушного судна при осуществлении регулярных пассажирских перевозок на территории Туруханского района.</t>
  </si>
  <si>
    <t>утверждение положения о порядке предоставления субсидии на возмещение части затрат по перевозке пассажиров автомобильным транспортом по регулярным автобусным маршрутам на территории с. Туруханск;
положения о порядке проведения конкурсного отбора претендентов на право получения субсидии на возмещение части затрат по перевозке пассажиров автомобильным транспортом по регулярным автобусным маршрутам на территории с. Туруханск;
норматива субсидирования 1 километра пробега транспортного средства с пассажирами при осуществлении пассажирских перевозок автомобильным транспортом по регулярным автобусным маршрутам на территории с. Туруханск</t>
  </si>
  <si>
    <t>утверждение аукционной документации для проведения открытого аукциона в электронной форме на право заключения муниципального контракта на оказание услуг связи в населенных пунктах Туруханского района</t>
  </si>
  <si>
    <t>территориальное управление администрации Туруханского района</t>
  </si>
  <si>
    <t>приказ</t>
  </si>
  <si>
    <t>ресурсном обеспечении муниципальной программы Туруханского района за счет средств районного бюджета,</t>
  </si>
  <si>
    <t>в том числе средств, поступивших из бюджетов других уровней бюджетной системы и бюджетов государственных</t>
  </si>
  <si>
    <t>3.1.</t>
  </si>
  <si>
    <t>4.1.</t>
  </si>
  <si>
    <t>Развитие транспортного комплекса, обеспечение сохранности и модернизации автомобильных дорог Туруханского района</t>
  </si>
  <si>
    <t>Итого по подпрограмме</t>
  </si>
  <si>
    <t>Формирование доступного уровня тарифов для всех категорий населения, путем субсидирования до 70% затрат.</t>
  </si>
  <si>
    <t>Цель муниципальной программы Туруханского района: повышение безопасности дорожного движения</t>
  </si>
  <si>
    <t>поездок / человек</t>
  </si>
  <si>
    <t>Задача 1. Предоставление субсидий субъектам пассажирских авиа- и автоперевозок в целях возмещения недополученных доходов и (или) финансового обеспечения (возмещения) затрат.</t>
  </si>
  <si>
    <t>среднегодовая численность населения</t>
  </si>
  <si>
    <t>Задача муниципальной программы Туруханского района: удовлетворение потребности населения в перевозках</t>
  </si>
  <si>
    <t>1.1.1.</t>
  </si>
  <si>
    <t>2.1.1.</t>
  </si>
  <si>
    <t>3.1.1.</t>
  </si>
  <si>
    <t>2.1.2.</t>
  </si>
  <si>
    <t>4.1.1.</t>
  </si>
  <si>
    <t>Задача муниципальной программы Туруханского района: обеспечение безопасности участников дорожного движения</t>
  </si>
  <si>
    <t>Поддержание транспортного сообщения между островной и материковой частью г. Игарка</t>
  </si>
  <si>
    <t>Приведение технического состояния дорог и объектов улично-дорожной сети нормативным требованиям</t>
  </si>
  <si>
    <t>%</t>
  </si>
  <si>
    <t>Протяженность автомобильных дорог общего пользования местного значения, отвечающих нормативным требованиям и их удельный вес в общей протяженности сети</t>
  </si>
  <si>
    <t>Количество пассажиров, перевезенных внутрирайонными воздушными перевозками на территории Туруханского района</t>
  </si>
  <si>
    <t>Количество пассажиров, перевезенных автомобильным транспортом на территории Туруханского района</t>
  </si>
  <si>
    <t>к паспорту муниципальной  программы Туруханского района "Развитие транспортной системы и связи Туруханского района"</t>
  </si>
  <si>
    <t xml:space="preserve">Социальный риск (число лиц, погибших в дорожно-транспортных происшествиях, на 100 тыс. населения)
</t>
  </si>
  <si>
    <t xml:space="preserve">Транспортный риск (число лиц, погибших в дорожно-транспортных происшествиях, на 10 тыс. транспортных средств)
</t>
  </si>
  <si>
    <t>человек на 100 тысяч населения</t>
  </si>
  <si>
    <t>человек на 10 тысяч транспортных средств</t>
  </si>
  <si>
    <t>Число детей, погибших в дорожно-транспортных происшествиях</t>
  </si>
  <si>
    <t xml:space="preserve">человек </t>
  </si>
  <si>
    <t>ОГИБДД</t>
  </si>
  <si>
    <t>Доступ населения к услугам внутризоновой, междугородней и международной связи.</t>
  </si>
  <si>
    <t>Цель муниципальной программы Туруханского района: повышение доступности транспортных услуг</t>
  </si>
  <si>
    <t>Цель муниципальной программы Туруханского района: развитие телекоммуникационных услуг на территории района</t>
  </si>
  <si>
    <t>Задача муниципальной программы Туруханского района: обеспечение доступности внутризоновой, междугородней и международной связи и модернизация существующей телефонной сети</t>
  </si>
  <si>
    <t>перевезено пассажиров авиа</t>
  </si>
  <si>
    <t>перевезено пассажиров авто</t>
  </si>
  <si>
    <t>Цель муниципальной программы Туруханского района: развитие современной и эффективной транспортной инфраструктуры</t>
  </si>
  <si>
    <t>Задача муниципальной программы Туруханского района: обеспечение сохранности, модернизация и развитие сети автомобильных дорог</t>
  </si>
  <si>
    <t>распоряжение</t>
  </si>
  <si>
    <t>утверждение аукционной документации на оказание услуг по содержанию межселенной автомобильной дороги Туруханск-Селиваниха общего пользования в зимний период</t>
  </si>
  <si>
    <t>утверждение аукционной документации на оказание услуг по содержанию межселенной автомобильной дороги Туруханск-Селиваниха общего пользования в летний период</t>
  </si>
  <si>
    <t>утверждение аукционной документации на выполнение работ по содержанию ледовой переправы</t>
  </si>
  <si>
    <t>администрация г. Игарки</t>
  </si>
  <si>
    <t>1.1.2.</t>
  </si>
  <si>
    <t>1.1.3.</t>
  </si>
  <si>
    <t>и значения показателей результативности подпрограммы  4 
«Развитие связи на территории Туруханского района»</t>
  </si>
  <si>
    <t>Развитие связи на территории Туруханского района</t>
  </si>
  <si>
    <t>Приложение № 5</t>
  </si>
  <si>
    <t>Приложение № 6</t>
  </si>
  <si>
    <t>Приложение № 7</t>
  </si>
  <si>
    <t>Цель. Удовлетворение потребности населения в перевозках.</t>
  </si>
  <si>
    <t>Цель. Совершенствование улично-дорожной сети, автомобильных дорог и дорожных сооружений местного значения, обеспечение их транспортно-эксплуатационных показателей на уровне, необходимом для удовлетворения потребностей пользователей автодорог.</t>
  </si>
  <si>
    <t>Задача 1. Улучшение технического состояния существующей улично-дорожной сети и автомобильных дорог местного значения.</t>
  </si>
  <si>
    <t>Цель. Снижение числа лиц, погибших в результате ДТП, и количества ДТП с пострадавшими.</t>
  </si>
  <si>
    <t>Задача. 1. Развитие системы организации движения транспортных средств и пешеходов, предупреждение опасного поведения участников дорожного движения.</t>
  </si>
  <si>
    <t>Цель. Формирование доступности внутризоновой, междугородней и международной связи и модернизация существующей телефонной сети.</t>
  </si>
  <si>
    <t>Задача 1. Создание условий, обеспечивающих доступность внутризоновой, междугородней и международной связи.</t>
  </si>
  <si>
    <t>мероприятий подпрограммы 4 «Развитие связи на территории Туруханского района»</t>
  </si>
  <si>
    <t>0920081550</t>
  </si>
  <si>
    <t>0920083230</t>
  </si>
  <si>
    <t>Мероприятие</t>
  </si>
  <si>
    <t>Исполнитель мероприятия</t>
  </si>
  <si>
    <t>Срок исполнения</t>
  </si>
  <si>
    <t>Финансирование</t>
  </si>
  <si>
    <t>сумма, млн. руб.</t>
  </si>
  <si>
    <t>источник</t>
  </si>
  <si>
    <t>в том числе по годам</t>
  </si>
  <si>
    <t>Всего за период</t>
  </si>
  <si>
    <t>Отбор исполнителей мероприятий программы осуществляется в соответствии с порядком отбора претендентов на право получения субсидии, утверждаемым администрацией Туруханского района</t>
  </si>
  <si>
    <t>Постоянно в течение всего периода реализации программы</t>
  </si>
  <si>
    <t>Районный бюджет</t>
  </si>
  <si>
    <r>
      <t>Администрации муниципальных образований Туруханского района определяют исполнителя в соответствии с Федеральным законом от 05.04.2013 № 44-ФЗ</t>
    </r>
    <r>
      <rPr>
        <b/>
        <sz val="10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«О контрактной системе в сфере закупок товаров, работ, услуг для обеспечения государственных и муниципальных нужд»</t>
    </r>
  </si>
  <si>
    <t>администрация Светлогорского сельсовета</t>
  </si>
  <si>
    <t>администрация Туруханского сельсовета</t>
  </si>
  <si>
    <t>администрация Борского сельсовета</t>
  </si>
  <si>
    <t>администрация Вороговского сельсовета</t>
  </si>
  <si>
    <t>ВСЕГО</t>
  </si>
  <si>
    <t>Краевой бюджет</t>
  </si>
  <si>
    <r>
      <t>Определяется в соответствии с Федеральным законом от 05.04.2013 № 44-ФЗ</t>
    </r>
    <r>
      <rPr>
        <b/>
        <sz val="10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«О контрактной системе в сфере закупок товаров, работ, услуг для обеспечения государственных и муниципальных нужд»</t>
    </r>
  </si>
  <si>
    <r>
      <t>Администрация г. Игарка  определяет исполнителя в соответствии с Федеральным законом от 05.04.2013 № 44-ФЗ</t>
    </r>
    <r>
      <rPr>
        <b/>
        <sz val="10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«О контрактной системе в сфере закупок товаров, работ, услуг для обеспечения государственных и муниципальных нужд»</t>
    </r>
  </si>
  <si>
    <t>Ежегодно, в период наличия ледового покрова</t>
  </si>
  <si>
    <t>0940081600</t>
  </si>
  <si>
    <t>администрация города Игарка</t>
  </si>
  <si>
    <t>администрация Верхнеимбатского сельсовета</t>
  </si>
  <si>
    <t>администрация Зотинского сельсовета</t>
  </si>
  <si>
    <t>Приложение
к паспорту подпрограммы 1 «Развитие транспортного комплекса, обеспечение сохранности и модернизации автомобильных дорог Туруханского района»</t>
  </si>
  <si>
    <t>Приложение 
к подпрограмме 1 «Развитие транспортного комплекса, обеспечение сохранности и модернизации автомобильных дорог Туруханского района»</t>
  </si>
  <si>
    <t>Приложение
к паспорту подпрограммы 2 «Организация транспортного обслуживания  на территории Туруханского района»</t>
  </si>
  <si>
    <t>Приложение
к подпрограмме 2 «Организация транспортного обслуживания  на территории Туруханского района»</t>
  </si>
  <si>
    <t>Приложение
к паспорту подпрограммы 3 «Безопасность дорожного движения в Туруханском районе»</t>
  </si>
  <si>
    <t>Приложение 
к подпрограмме 3 «Безопасность дорожного движения в Туруханском районе»</t>
  </si>
  <si>
    <t>Приложение
к паспорту подпрограммы № 4 «Развитие связи на территории Туруханского района»</t>
  </si>
  <si>
    <t>отчетность исполнителя  мероприятий</t>
  </si>
  <si>
    <t>Приложение
к подпрограмме № 4 «Развитие связи на территории Туруханского района»</t>
  </si>
  <si>
    <r>
      <rPr>
        <vertAlign val="superscript"/>
        <sz val="10"/>
        <rFont val="Times New Roman"/>
        <family val="1"/>
        <charset val="204"/>
      </rPr>
      <t>1</t>
    </r>
    <r>
      <rPr>
        <sz val="10"/>
        <rFont val="Times New Roman"/>
        <family val="2"/>
        <charset val="204"/>
      </rPr>
      <t>Учитывается количество поездок пассажиров, выполненных в рамках оказания услуг по пассажирским перевозкам субъектами, получающими субсидии за счет средств  районного бюджета согласно данной муниципальной программе</t>
    </r>
  </si>
  <si>
    <t>тыс. рублей</t>
  </si>
  <si>
    <t>Создание условий для безопасности перевозок автомобильным, авиационным и речным транспортом</t>
  </si>
  <si>
    <t>0503</t>
  </si>
  <si>
    <t>0930073980</t>
  </si>
  <si>
    <t>0702</t>
  </si>
  <si>
    <t>09300S3980</t>
  </si>
  <si>
    <t>Управление образования администрации Туруханского района</t>
  </si>
  <si>
    <t>Расходы на капитальный ремонт и ремонт автомобильных дорог общего пользования местного значения за счет средств дорожного фонда Красноярского края</t>
  </si>
  <si>
    <t>Расходы на содержание автомобильных дорог общего пользования местного значения за счет средств дорожного фонда Красноярского края</t>
  </si>
  <si>
    <t>С начала периода речной навигации года, в течение которого реализуется мероприятие</t>
  </si>
  <si>
    <t>сумма, тыс. руб.</t>
  </si>
  <si>
    <t>ВСЕГО по Подпрограмме</t>
  </si>
  <si>
    <t>II-IV квартал года, в течение которого реализуется мероприятие</t>
  </si>
  <si>
    <r>
      <t>Определяется в соответствии с Федеральным законом от 05.04.2013 № 44-ФЗ</t>
    </r>
    <r>
      <rPr>
        <b/>
        <sz val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«О контрактной системе в сфере закупок товаров, работ, услуг для обеспечения государственных и муниципальных нужд»</t>
    </r>
  </si>
  <si>
    <t xml:space="preserve"> </t>
  </si>
  <si>
    <t>0910075080</t>
  </si>
  <si>
    <t>0910075090</t>
  </si>
  <si>
    <t>0920083640</t>
  </si>
  <si>
    <t>Всего по мероприятияю</t>
  </si>
  <si>
    <t>проверка</t>
  </si>
  <si>
    <t>подпрограмма 1</t>
  </si>
  <si>
    <t>подпрограмма 2</t>
  </si>
  <si>
    <t>подпрограмма 3</t>
  </si>
  <si>
    <t>подпрограмма 4</t>
  </si>
  <si>
    <t>мероприятий подпрограммы 2 «Организация транспортного обслуживания на территории Туруханского района»</t>
  </si>
  <si>
    <t>число транспортных средств</t>
  </si>
  <si>
    <t>Проведение мероприятий, направленных на обеспечение безопасного участия детей в дорожном движении</t>
  </si>
  <si>
    <t>расходы бюджетов муниципальных образований на проведение мероприятий, направленных на обеспечение безопасного участия детей в дорожном движении</t>
  </si>
  <si>
    <t>софинансирование расходов на проведение мероприятий, направленных на обеспечение безопасного участия детей в дорожном движении</t>
  </si>
  <si>
    <t>Поддержание спутниковых каналов связи и организация доступа к внутризоновой, междугородней и международной связи, а также доступа к сети Интернет (п. Бахта, п. Бор, с. Верещагино, с. Верхнеимбатск, с. Ворогово, п. Келлог, д. Сургутиха, д. Фарково)</t>
  </si>
  <si>
    <t>Поддержание  спутниковых каналов связи и организация доступа к внутризоновой, междугородней и международной связи, а также доступа к сети Интернет</t>
  </si>
  <si>
    <t>Наличие доступа к услугам внутризоновой, междугородней и международной связи, а также доступа к сети Интернет в населенных пунктах, на территории которых реализуются мероприятия программы</t>
  </si>
  <si>
    <t>Задача 2. Создание безопасных условии для перевозок  на территории района</t>
  </si>
  <si>
    <t>кап ремонт</t>
  </si>
  <si>
    <t>содержание</t>
  </si>
  <si>
    <t>1.5.</t>
  </si>
  <si>
    <t>Создание условий для развития услуг связи в малочисленных и труднодоступных населенных пунктах Красноярского края Туруханского района</t>
  </si>
  <si>
    <t>0940076450</t>
  </si>
  <si>
    <t>09400S6450</t>
  </si>
  <si>
    <t>0410</t>
  </si>
  <si>
    <t>Предоставление субсидий организациям воздушного транспорта на компенсацию расходов, возникающих в результате государственного регулирования тарифов при осуществлении регулярных пассажирских перевозок на территории Туруханского района</t>
  </si>
  <si>
    <t>Предоставление субсидий на компенсацию затрат, связанных с воздушной перевозкой пассажиров по маршрутам Красноярск – Светлогорск, Светлогорск - Красноярск</t>
  </si>
  <si>
    <t>в том числе</t>
  </si>
  <si>
    <t>Приложение № 1
к постановлению 
администрации  Туруханского района 
от___________№__________-п</t>
  </si>
  <si>
    <t>Приложение № 2
к постановлению 
администрации  Туруханского района 
от___________№__________-п</t>
  </si>
  <si>
    <t>Приложение № 3
к постановлению 
администрации  Туруханского района 
от___________№__________-п</t>
  </si>
  <si>
    <t>Приложение № 4
к постановлению 
администрации  Туруханского района 
от___________№__________-п</t>
  </si>
  <si>
    <t>Расходы бюджетов муниципальных образований на проведение мероприятий по формированию законопослушного поведения участников дорожного движения</t>
  </si>
  <si>
    <t>Управление культуры и молодежной политики администрации Туруханского района</t>
  </si>
  <si>
    <t>0930083860</t>
  </si>
  <si>
    <t>постоянно</t>
  </si>
  <si>
    <t>без финансирования</t>
  </si>
  <si>
    <r>
      <t>Транспортная подвижность населения (количество поездок всеми видами транспорта</t>
    </r>
    <r>
      <rPr>
        <vertAlign val="superscript"/>
        <sz val="12"/>
        <rFont val="Times New Roman"/>
        <family val="2"/>
        <charset val="204"/>
      </rPr>
      <t>1</t>
    </r>
    <r>
      <rPr>
        <sz val="12"/>
        <rFont val="Times New Roman"/>
        <family val="2"/>
        <charset val="204"/>
      </rPr>
      <t xml:space="preserve"> / количество жителей)</t>
    </r>
  </si>
  <si>
    <t>0920083890</t>
  </si>
  <si>
    <t>Расходы по межнавигационному отстою судов (припаромки), в части возмещения затрат ООО "Игарская стивидорная компания" по хранению двух причальных установок для самоходного парома в межнавигационный период 2016-2017 годов</t>
  </si>
  <si>
    <t>Администрация Туруханского района предоставляет межбюджетные трансферты администрации г. Игарка</t>
  </si>
  <si>
    <t>2021 год</t>
  </si>
  <si>
    <t>1.6.</t>
  </si>
  <si>
    <t>Всего по мероприятию</t>
  </si>
  <si>
    <t>Поддержание транспортного сообщения между с. Туруханск и г. Игарка</t>
  </si>
  <si>
    <t>0910081510</t>
  </si>
  <si>
    <t>0910081520</t>
  </si>
  <si>
    <t>0910083940</t>
  </si>
  <si>
    <t>Содержание зимней автодороги Игарка - Светлогосрк - Туруханск</t>
  </si>
  <si>
    <t>1.7.</t>
  </si>
  <si>
    <t>Обустройство и содержание зимней автодороги Игарка - Светлогосрк - Туруханск</t>
  </si>
  <si>
    <t>Осуществление дорожной деятельности в отношении автомобильных дорог общего пользования местного значения в соответствии с решениями Губернатора Красноярского края, Правительства Красноярского края</t>
  </si>
  <si>
    <t>0910073950</t>
  </si>
  <si>
    <t>09100S3950</t>
  </si>
  <si>
    <t>Борский сельский совет</t>
  </si>
  <si>
    <t>Верхнеимбатский сельский совет</t>
  </si>
  <si>
    <t>Вороговский сельский совет</t>
  </si>
  <si>
    <t>Зотинский сельский совет</t>
  </si>
  <si>
    <t>Туруханский сельский совет</t>
  </si>
  <si>
    <t>Светлогорский сельсовет</t>
  </si>
  <si>
    <t>г.Игарка</t>
  </si>
  <si>
    <t>Приложение № 6
к постановлению 
администрации  Туруханского района 
от___________№__________-п</t>
  </si>
  <si>
    <t>Расходы на реализацию мероприятий, направленных на повышение безопасности дорожного движения, за счет средств дорожного фонда Красноярского края</t>
  </si>
  <si>
    <t>093R374920</t>
  </si>
  <si>
    <t>2022 год</t>
  </si>
  <si>
    <t>2.2.</t>
  </si>
  <si>
    <t>Задача 3. Расходы на транспортировку тел умерших из населенных пунктов Туруханского района</t>
  </si>
  <si>
    <t xml:space="preserve">Расходы на транспортировку тел умерших из населенных пунктов  до места проведения патологоанатомических процедур и захоронения </t>
  </si>
  <si>
    <t>241</t>
  </si>
  <si>
    <t>0920083750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</si>
</sst>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4">
    <numFmt numFmtId="164" formatCode="_-* #,##0.00_р_._-;\-* #,##0.00_р_._-;_-* &quot;-&quot;??_р_._-;_-@_-"/>
    <numFmt numFmtId="165" formatCode="_-* #,##0.000_р_._-;\-* #,##0.000_р_._-;_-* &quot;-&quot;??_р_._-;_-@_-"/>
    <numFmt numFmtId="166" formatCode="_(* #,##0.00_);_(* \(#,##0.00\);_(* &quot;-&quot;??_);_(@_)"/>
    <numFmt numFmtId="167" formatCode="_-* #,##0_р_._-;\-* #,##0_р_._-;_-* &quot;-&quot;??_р_._-;_-@_-"/>
    <numFmt numFmtId="168" formatCode="#,##0.000_ ;\-#,##0.000\ "/>
    <numFmt numFmtId="169" formatCode="#,##0.000"/>
    <numFmt numFmtId="170" formatCode="0.0"/>
    <numFmt numFmtId="171" formatCode="_-* #,##0.000_р_._-;\-* #,##0.000_р_._-;_-* &quot;-&quot;???_р_._-;_-@_-"/>
    <numFmt numFmtId="172" formatCode="0.000"/>
    <numFmt numFmtId="173" formatCode="_-* #,##0.0_р_._-;\-* #,##0.0_р_._-;_-* &quot;-&quot;??_р_._-;_-@_-"/>
    <numFmt numFmtId="174" formatCode="0.0000"/>
    <numFmt numFmtId="175" formatCode="[$-419]mmmm\ yyyy;@"/>
    <numFmt numFmtId="176" formatCode="_-* #,##0.0_р_._-;\-* #,##0.0_р_._-;_-* &quot;-&quot;?_р_._-;_-@_-"/>
    <numFmt numFmtId="177" formatCode="_-* #,##0.000\ _₽_-;\-* #,##0.000\ _₽_-;_-* &quot;-&quot;???\ _₽_-;_-@_-"/>
  </numFmts>
  <fonts count="24" x14ac:knownFonts="1">
    <font>
      <sz val="12"/>
      <color theme="1"/>
      <name val="Times New Roman"/>
      <family val="2"/>
      <charset val="204"/>
    </font>
    <font>
      <u/>
      <sz val="12"/>
      <color theme="10"/>
      <name val="Times New Roman"/>
      <family val="2"/>
      <charset val="204"/>
    </font>
    <font>
      <sz val="12"/>
      <name val="Times New Roman"/>
      <family val="2"/>
      <charset val="204"/>
    </font>
    <font>
      <sz val="14"/>
      <name val="Times New Roman"/>
      <family val="2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2"/>
      <charset val="204"/>
    </font>
    <font>
      <b/>
      <sz val="12"/>
      <name val="Times New Roman"/>
      <family val="1"/>
      <charset val="204"/>
    </font>
    <font>
      <sz val="10"/>
      <name val="Arial"/>
      <family val="2"/>
      <charset val="204"/>
    </font>
    <font>
      <b/>
      <sz val="12"/>
      <name val="Times New Roman"/>
      <family val="2"/>
      <charset val="204"/>
    </font>
    <font>
      <b/>
      <sz val="14"/>
      <name val="Times New Roman"/>
      <family val="1"/>
      <charset val="204"/>
    </font>
    <font>
      <sz val="10"/>
      <name val="Times New Roman"/>
      <family val="2"/>
      <charset val="204"/>
    </font>
    <font>
      <vertAlign val="superscript"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color theme="1"/>
      <name val="Times New Roman"/>
      <family val="2"/>
      <charset val="204"/>
    </font>
    <font>
      <sz val="11"/>
      <name val="Times New Roman"/>
      <family val="2"/>
      <charset val="204"/>
    </font>
    <font>
      <b/>
      <sz val="10"/>
      <name val="Times New Roman"/>
      <family val="1"/>
      <charset val="204"/>
    </font>
    <font>
      <b/>
      <sz val="14"/>
      <name val="Times New Roman"/>
      <family val="2"/>
      <charset val="204"/>
    </font>
    <font>
      <sz val="12"/>
      <color theme="1"/>
      <name val="Times New Roman"/>
      <family val="1"/>
      <charset val="204"/>
    </font>
    <font>
      <sz val="12"/>
      <color rgb="FFFF0000"/>
      <name val="Times New Roman"/>
      <family val="2"/>
      <charset val="204"/>
    </font>
    <font>
      <vertAlign val="superscript"/>
      <sz val="12"/>
      <name val="Times New Roman"/>
      <family val="2"/>
      <charset val="204"/>
    </font>
    <font>
      <i/>
      <sz val="12"/>
      <name val="Times New Roman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6">
    <xf numFmtId="0" fontId="0" fillId="0" borderId="0"/>
    <xf numFmtId="0" fontId="1" fillId="0" borderId="0" applyNumberFormat="0" applyFill="0" applyBorder="0" applyAlignment="0" applyProtection="0"/>
    <xf numFmtId="164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7" fillId="0" borderId="0"/>
    <xf numFmtId="0" fontId="7" fillId="0" borderId="0"/>
  </cellStyleXfs>
  <cellXfs count="362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0" xfId="0" applyFont="1"/>
    <xf numFmtId="0" fontId="2" fillId="0" borderId="1" xfId="1" applyFont="1" applyBorder="1" applyAlignment="1">
      <alignment vertical="center"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1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justify" vertical="center"/>
    </xf>
    <xf numFmtId="0" fontId="3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vertical="center" wrapText="1"/>
    </xf>
    <xf numFmtId="16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/>
    <xf numFmtId="164" fontId="2" fillId="0" borderId="0" xfId="0" applyNumberFormat="1" applyFont="1"/>
    <xf numFmtId="16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/>
    <xf numFmtId="0" fontId="2" fillId="2" borderId="1" xfId="0" applyFont="1" applyFill="1" applyBorder="1" applyAlignment="1">
      <alignment vertical="center" wrapText="1"/>
    </xf>
    <xf numFmtId="16" fontId="2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/>
    <xf numFmtId="167" fontId="2" fillId="0" borderId="1" xfId="2" applyNumberFormat="1" applyFont="1" applyFill="1" applyBorder="1" applyAlignment="1">
      <alignment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0" fontId="3" fillId="4" borderId="0" xfId="0" applyFont="1" applyFill="1"/>
    <xf numFmtId="2" fontId="3" fillId="0" borderId="0" xfId="0" applyNumberFormat="1" applyFont="1" applyFill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2" fontId="2" fillId="4" borderId="1" xfId="0" applyNumberFormat="1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indent="2"/>
    </xf>
    <xf numFmtId="0" fontId="14" fillId="0" borderId="1" xfId="0" applyFont="1" applyBorder="1"/>
    <xf numFmtId="0" fontId="14" fillId="0" borderId="1" xfId="0" applyFont="1" applyBorder="1" applyAlignment="1">
      <alignment horizontal="center"/>
    </xf>
    <xf numFmtId="0" fontId="15" fillId="0" borderId="0" xfId="0" applyFont="1"/>
    <xf numFmtId="0" fontId="13" fillId="0" borderId="1" xfId="0" applyFont="1" applyBorder="1" applyAlignment="1">
      <alignment horizontal="justify" vertical="center" wrapText="1"/>
    </xf>
    <xf numFmtId="0" fontId="14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2" fontId="13" fillId="0" borderId="1" xfId="2" applyNumberFormat="1" applyFont="1" applyBorder="1" applyAlignment="1">
      <alignment horizontal="center" vertical="center" wrapText="1"/>
    </xf>
    <xf numFmtId="2" fontId="13" fillId="0" borderId="1" xfId="0" applyNumberFormat="1" applyFont="1" applyBorder="1" applyAlignment="1">
      <alignment horizontal="center" vertical="center" wrapText="1"/>
    </xf>
    <xf numFmtId="2" fontId="14" fillId="0" borderId="1" xfId="0" applyNumberFormat="1" applyFont="1" applyBorder="1" applyAlignment="1">
      <alignment horizontal="center" vertical="center" wrapText="1"/>
    </xf>
    <xf numFmtId="0" fontId="16" fillId="0" borderId="0" xfId="0" applyFont="1" applyAlignment="1">
      <alignment horizontal="center"/>
    </xf>
    <xf numFmtId="0" fontId="16" fillId="0" borderId="0" xfId="0" applyFont="1"/>
    <xf numFmtId="2" fontId="16" fillId="0" borderId="0" xfId="0" applyNumberFormat="1" applyFont="1"/>
    <xf numFmtId="164" fontId="16" fillId="0" borderId="0" xfId="0" applyNumberFormat="1" applyFont="1"/>
    <xf numFmtId="165" fontId="2" fillId="0" borderId="1" xfId="2" applyNumberFormat="1" applyFont="1" applyBorder="1" applyAlignment="1">
      <alignment vertical="center" wrapText="1"/>
    </xf>
    <xf numFmtId="165" fontId="2" fillId="0" borderId="1" xfId="2" applyNumberFormat="1" applyFont="1" applyFill="1" applyBorder="1" applyAlignment="1">
      <alignment vertical="center" wrapText="1"/>
    </xf>
    <xf numFmtId="165" fontId="2" fillId="0" borderId="1" xfId="2" applyNumberFormat="1" applyFont="1" applyFill="1" applyBorder="1" applyAlignment="1">
      <alignment horizontal="left" vertical="center" wrapText="1"/>
    </xf>
    <xf numFmtId="2" fontId="13" fillId="0" borderId="1" xfId="2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168" fontId="3" fillId="0" borderId="0" xfId="2" applyNumberFormat="1" applyFont="1"/>
    <xf numFmtId="169" fontId="6" fillId="4" borderId="1" xfId="2" applyNumberFormat="1" applyFont="1" applyFill="1" applyBorder="1" applyAlignment="1">
      <alignment vertical="center" wrapText="1"/>
    </xf>
    <xf numFmtId="169" fontId="6" fillId="0" borderId="1" xfId="2" applyNumberFormat="1" applyFont="1" applyBorder="1" applyAlignment="1">
      <alignment vertical="center" wrapText="1"/>
    </xf>
    <xf numFmtId="169" fontId="3" fillId="0" borderId="0" xfId="0" applyNumberFormat="1" applyFont="1"/>
    <xf numFmtId="169" fontId="3" fillId="0" borderId="0" xfId="2" applyNumberFormat="1" applyFont="1"/>
    <xf numFmtId="169" fontId="4" fillId="4" borderId="1" xfId="2" applyNumberFormat="1" applyFont="1" applyFill="1" applyBorder="1" applyAlignment="1">
      <alignment vertical="center" wrapText="1"/>
    </xf>
    <xf numFmtId="169" fontId="4" fillId="0" borderId="1" xfId="2" applyNumberFormat="1" applyFont="1" applyBorder="1" applyAlignment="1">
      <alignment vertical="center" wrapText="1"/>
    </xf>
    <xf numFmtId="169" fontId="2" fillId="4" borderId="1" xfId="2" applyNumberFormat="1" applyFont="1" applyFill="1" applyBorder="1" applyAlignment="1">
      <alignment vertical="center" wrapText="1"/>
    </xf>
    <xf numFmtId="169" fontId="2" fillId="4" borderId="1" xfId="2" applyNumberFormat="1" applyFont="1" applyFill="1" applyBorder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0" fillId="0" borderId="10" xfId="0" applyBorder="1" applyAlignment="1"/>
    <xf numFmtId="0" fontId="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2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165" fontId="2" fillId="3" borderId="1" xfId="2" applyNumberFormat="1" applyFont="1" applyFill="1" applyBorder="1" applyAlignment="1">
      <alignment vertical="center" wrapText="1"/>
    </xf>
    <xf numFmtId="0" fontId="13" fillId="0" borderId="1" xfId="0" applyFont="1" applyBorder="1" applyAlignment="1">
      <alignment vertical="top" wrapText="1"/>
    </xf>
    <xf numFmtId="0" fontId="0" fillId="0" borderId="0" xfId="0" applyAlignment="1">
      <alignment horizontal="center" vertical="center"/>
    </xf>
    <xf numFmtId="164" fontId="12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right" vertical="center" wrapText="1"/>
    </xf>
    <xf numFmtId="164" fontId="12" fillId="0" borderId="1" xfId="0" applyNumberFormat="1" applyFont="1" applyBorder="1" applyAlignment="1">
      <alignment horizontal="right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vertical="center" wrapText="1"/>
    </xf>
    <xf numFmtId="164" fontId="18" fillId="0" borderId="1" xfId="0" applyNumberFormat="1" applyFont="1" applyBorder="1" applyAlignment="1">
      <alignment horizontal="right" vertical="center" wrapText="1"/>
    </xf>
    <xf numFmtId="171" fontId="3" fillId="0" borderId="0" xfId="0" applyNumberFormat="1" applyFont="1" applyFill="1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17" fillId="0" borderId="1" xfId="0" applyFont="1" applyBorder="1" applyAlignment="1">
      <alignment horizontal="center" vertical="center" wrapText="1"/>
    </xf>
    <xf numFmtId="0" fontId="19" fillId="0" borderId="0" xfId="0" applyFont="1" applyFill="1" applyAlignment="1">
      <alignment horizontal="left" vertical="center"/>
    </xf>
    <xf numFmtId="0" fontId="19" fillId="0" borderId="0" xfId="0" applyFont="1" applyFill="1" applyAlignment="1">
      <alignment vertical="center" wrapText="1"/>
    </xf>
    <xf numFmtId="2" fontId="19" fillId="0" borderId="0" xfId="0" applyNumberFormat="1" applyFont="1" applyFill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164" fontId="3" fillId="0" borderId="0" xfId="2" applyFont="1" applyFill="1" applyAlignment="1">
      <alignment vertical="center"/>
    </xf>
    <xf numFmtId="49" fontId="2" fillId="3" borderId="1" xfId="0" applyNumberFormat="1" applyFont="1" applyFill="1" applyBorder="1" applyAlignment="1">
      <alignment horizontal="center" vertical="center"/>
    </xf>
    <xf numFmtId="0" fontId="19" fillId="5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vertical="center" wrapText="1"/>
    </xf>
    <xf numFmtId="165" fontId="8" fillId="5" borderId="1" xfId="2" applyNumberFormat="1" applyFont="1" applyFill="1" applyBorder="1" applyAlignment="1">
      <alignment horizontal="left" vertical="center" wrapText="1"/>
    </xf>
    <xf numFmtId="171" fontId="2" fillId="0" borderId="0" xfId="0" applyNumberFormat="1" applyFont="1"/>
    <xf numFmtId="49" fontId="8" fillId="3" borderId="1" xfId="0" applyNumberFormat="1" applyFont="1" applyFill="1" applyBorder="1" applyAlignment="1">
      <alignment horizontal="center" vertical="center"/>
    </xf>
    <xf numFmtId="165" fontId="8" fillId="3" borderId="1" xfId="2" applyNumberFormat="1" applyFont="1" applyFill="1" applyBorder="1" applyAlignment="1">
      <alignment vertical="center" wrapText="1"/>
    </xf>
    <xf numFmtId="0" fontId="12" fillId="0" borderId="1" xfId="0" applyFont="1" applyBorder="1" applyAlignment="1">
      <alignment horizontal="left" vertical="center" wrapText="1"/>
    </xf>
    <xf numFmtId="169" fontId="3" fillId="0" borderId="12" xfId="0" applyNumberFormat="1" applyFont="1" applyBorder="1"/>
    <xf numFmtId="169" fontId="3" fillId="0" borderId="12" xfId="2" applyNumberFormat="1" applyFont="1" applyBorder="1"/>
    <xf numFmtId="0" fontId="3" fillId="0" borderId="12" xfId="0" applyFont="1" applyBorder="1"/>
    <xf numFmtId="169" fontId="3" fillId="0" borderId="0" xfId="0" applyNumberFormat="1" applyFont="1" applyBorder="1"/>
    <xf numFmtId="169" fontId="3" fillId="0" borderId="0" xfId="2" applyNumberFormat="1" applyFont="1" applyBorder="1"/>
    <xf numFmtId="0" fontId="3" fillId="0" borderId="0" xfId="0" applyFont="1" applyBorder="1"/>
    <xf numFmtId="169" fontId="3" fillId="0" borderId="11" xfId="0" applyNumberFormat="1" applyFont="1" applyBorder="1"/>
    <xf numFmtId="169" fontId="3" fillId="0" borderId="11" xfId="2" applyNumberFormat="1" applyFont="1" applyBorder="1"/>
    <xf numFmtId="0" fontId="3" fillId="0" borderId="11" xfId="0" applyFont="1" applyBorder="1"/>
    <xf numFmtId="169" fontId="9" fillId="0" borderId="12" xfId="0" applyNumberFormat="1" applyFont="1" applyBorder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165" fontId="8" fillId="3" borderId="1" xfId="2" applyNumberFormat="1" applyFont="1" applyFill="1" applyBorder="1" applyAlignment="1">
      <alignment horizontal="left" vertical="center" wrapText="1"/>
    </xf>
    <xf numFmtId="0" fontId="19" fillId="5" borderId="1" xfId="0" applyFont="1" applyFill="1" applyBorder="1" applyAlignment="1">
      <alignment horizontal="center" vertical="center"/>
    </xf>
    <xf numFmtId="172" fontId="13" fillId="0" borderId="1" xfId="2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2" fillId="4" borderId="0" xfId="0" applyFont="1" applyFill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1" fontId="2" fillId="0" borderId="1" xfId="2" applyNumberFormat="1" applyFont="1" applyFill="1" applyBorder="1" applyAlignment="1">
      <alignment horizontal="center" vertical="center" wrapText="1"/>
    </xf>
    <xf numFmtId="173" fontId="13" fillId="0" borderId="1" xfId="2" applyNumberFormat="1" applyFont="1" applyBorder="1" applyAlignment="1">
      <alignment vertical="center" wrapText="1"/>
    </xf>
    <xf numFmtId="173" fontId="13" fillId="0" borderId="1" xfId="2" applyNumberFormat="1" applyFont="1" applyBorder="1" applyAlignment="1">
      <alignment vertical="center"/>
    </xf>
    <xf numFmtId="173" fontId="14" fillId="0" borderId="1" xfId="2" applyNumberFormat="1" applyFont="1" applyBorder="1"/>
    <xf numFmtId="164" fontId="2" fillId="0" borderId="1" xfId="2" applyFont="1" applyFill="1" applyBorder="1" applyAlignment="1">
      <alignment horizontal="center" vertical="center" wrapText="1"/>
    </xf>
    <xf numFmtId="164" fontId="8" fillId="5" borderId="1" xfId="2" applyFont="1" applyFill="1" applyBorder="1" applyAlignment="1">
      <alignment horizontal="center" vertical="center" wrapText="1"/>
    </xf>
    <xf numFmtId="164" fontId="0" fillId="0" borderId="0" xfId="0" applyNumberFormat="1"/>
    <xf numFmtId="49" fontId="8" fillId="3" borderId="1" xfId="0" applyNumberFormat="1" applyFont="1" applyFill="1" applyBorder="1" applyAlignment="1">
      <alignment horizontal="left" vertical="center" wrapText="1"/>
    </xf>
    <xf numFmtId="0" fontId="19" fillId="0" borderId="0" xfId="0" applyFont="1" applyFill="1" applyAlignment="1">
      <alignment vertical="center"/>
    </xf>
    <xf numFmtId="172" fontId="13" fillId="0" borderId="1" xfId="2" applyNumberFormat="1" applyFont="1" applyBorder="1" applyAlignment="1">
      <alignment horizontal="center" vertical="center" wrapText="1"/>
    </xf>
    <xf numFmtId="165" fontId="13" fillId="0" borderId="1" xfId="2" applyNumberFormat="1" applyFont="1" applyBorder="1" applyAlignment="1">
      <alignment horizontal="center" vertical="center" wrapText="1"/>
    </xf>
    <xf numFmtId="165" fontId="13" fillId="0" borderId="1" xfId="2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top" wrapText="1"/>
    </xf>
    <xf numFmtId="0" fontId="0" fillId="0" borderId="10" xfId="0" applyBorder="1" applyAlignment="1">
      <alignment horizontal="center"/>
    </xf>
    <xf numFmtId="0" fontId="13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20" fillId="0" borderId="1" xfId="0" applyFont="1" applyBorder="1" applyAlignment="1">
      <alignment vertical="center"/>
    </xf>
    <xf numFmtId="174" fontId="13" fillId="0" borderId="1" xfId="0" applyNumberFormat="1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0" fontId="18" fillId="0" borderId="7" xfId="0" applyFont="1" applyBorder="1" applyAlignment="1">
      <alignment vertical="center" wrapText="1"/>
    </xf>
    <xf numFmtId="0" fontId="13" fillId="0" borderId="5" xfId="0" applyFont="1" applyBorder="1" applyAlignment="1">
      <alignment vertical="center" wrapText="1"/>
    </xf>
    <xf numFmtId="0" fontId="13" fillId="0" borderId="8" xfId="0" applyFont="1" applyBorder="1" applyAlignment="1">
      <alignment vertical="center" wrapText="1"/>
    </xf>
    <xf numFmtId="0" fontId="13" fillId="0" borderId="7" xfId="0" applyFont="1" applyBorder="1" applyAlignment="1">
      <alignment vertical="center" wrapText="1"/>
    </xf>
    <xf numFmtId="164" fontId="13" fillId="0" borderId="1" xfId="2" applyFont="1" applyBorder="1" applyAlignment="1">
      <alignment horizontal="center" vertical="center" wrapText="1"/>
    </xf>
    <xf numFmtId="164" fontId="8" fillId="3" borderId="1" xfId="2" applyFont="1" applyFill="1" applyBorder="1" applyAlignment="1">
      <alignment horizontal="center" vertical="center" wrapText="1"/>
    </xf>
    <xf numFmtId="173" fontId="0" fillId="0" borderId="0" xfId="0" applyNumberFormat="1"/>
    <xf numFmtId="1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2" fontId="21" fillId="4" borderId="1" xfId="0" applyNumberFormat="1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165" fontId="2" fillId="0" borderId="1" xfId="3" applyNumberFormat="1" applyFont="1" applyFill="1" applyBorder="1" applyAlignment="1">
      <alignment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2" fillId="0" borderId="1" xfId="4" applyFont="1" applyFill="1" applyBorder="1" applyAlignment="1">
      <alignment horizontal="left" vertical="center" wrapText="1"/>
    </xf>
    <xf numFmtId="0" fontId="2" fillId="0" borderId="1" xfId="4" applyFont="1" applyFill="1" applyBorder="1" applyAlignment="1">
      <alignment horizontal="center" vertical="center" wrapText="1"/>
    </xf>
    <xf numFmtId="49" fontId="2" fillId="0" borderId="1" xfId="4" applyNumberFormat="1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171" fontId="2" fillId="4" borderId="0" xfId="0" applyNumberFormat="1" applyFont="1" applyFill="1"/>
    <xf numFmtId="175" fontId="2" fillId="0" borderId="0" xfId="0" applyNumberFormat="1" applyFont="1"/>
    <xf numFmtId="175" fontId="2" fillId="0" borderId="1" xfId="0" applyNumberFormat="1" applyFont="1" applyBorder="1" applyAlignment="1">
      <alignment horizontal="center" vertical="center" wrapText="1"/>
    </xf>
    <xf numFmtId="175" fontId="2" fillId="0" borderId="1" xfId="0" applyNumberFormat="1" applyFont="1" applyFill="1" applyBorder="1" applyAlignment="1">
      <alignment horizontal="center" vertical="center" wrapText="1"/>
    </xf>
    <xf numFmtId="175" fontId="2" fillId="2" borderId="1" xfId="0" applyNumberFormat="1" applyFont="1" applyFill="1" applyBorder="1" applyAlignment="1">
      <alignment vertical="center" wrapText="1"/>
    </xf>
    <xf numFmtId="175" fontId="2" fillId="0" borderId="1" xfId="0" applyNumberFormat="1" applyFont="1" applyBorder="1" applyAlignment="1">
      <alignment vertical="center" wrapText="1"/>
    </xf>
    <xf numFmtId="0" fontId="0" fillId="4" borderId="1" xfId="0" applyFont="1" applyFill="1" applyBorder="1" applyAlignment="1">
      <alignment vertical="center" wrapText="1"/>
    </xf>
    <xf numFmtId="1" fontId="0" fillId="4" borderId="1" xfId="0" applyNumberFormat="1" applyFont="1" applyFill="1" applyBorder="1" applyAlignment="1">
      <alignment vertical="center" wrapText="1"/>
    </xf>
    <xf numFmtId="2" fontId="0" fillId="4" borderId="1" xfId="0" applyNumberFormat="1" applyFont="1" applyFill="1" applyBorder="1" applyAlignment="1">
      <alignment vertical="center" wrapText="1"/>
    </xf>
    <xf numFmtId="164" fontId="5" fillId="0" borderId="1" xfId="2" applyNumberFormat="1" applyFont="1" applyFill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top" wrapText="1"/>
    </xf>
    <xf numFmtId="0" fontId="0" fillId="0" borderId="10" xfId="0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164" fontId="2" fillId="0" borderId="1" xfId="2" applyFont="1" applyFill="1" applyBorder="1" applyAlignment="1">
      <alignment vertical="center" wrapText="1"/>
    </xf>
    <xf numFmtId="173" fontId="4" fillId="0" borderId="1" xfId="2" applyNumberFormat="1" applyFont="1" applyFill="1" applyBorder="1" applyAlignment="1">
      <alignment vertical="center" wrapText="1"/>
    </xf>
    <xf numFmtId="170" fontId="2" fillId="0" borderId="1" xfId="0" applyNumberFormat="1" applyFont="1" applyFill="1" applyBorder="1" applyAlignment="1">
      <alignment horizontal="center" vertical="center" wrapText="1"/>
    </xf>
    <xf numFmtId="167" fontId="4" fillId="0" borderId="1" xfId="2" applyNumberFormat="1" applyFont="1" applyFill="1" applyBorder="1" applyAlignment="1">
      <alignment vertical="center" wrapText="1"/>
    </xf>
    <xf numFmtId="164" fontId="4" fillId="0" borderId="1" xfId="2" applyNumberFormat="1" applyFont="1" applyFill="1" applyBorder="1" applyAlignment="1">
      <alignment vertical="center" wrapText="1"/>
    </xf>
    <xf numFmtId="176" fontId="0" fillId="0" borderId="0" xfId="0" applyNumberFormat="1"/>
    <xf numFmtId="164" fontId="0" fillId="0" borderId="0" xfId="2" applyFont="1"/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164" fontId="3" fillId="0" borderId="0" xfId="2" applyFont="1"/>
    <xf numFmtId="171" fontId="3" fillId="0" borderId="0" xfId="0" applyNumberFormat="1" applyFo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1" fontId="2" fillId="4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49" fontId="2" fillId="4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0" fillId="0" borderId="10" xfId="0" applyBorder="1" applyAlignment="1">
      <alignment horizontal="center"/>
    </xf>
    <xf numFmtId="0" fontId="12" fillId="0" borderId="1" xfId="0" applyFont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 wrapText="1"/>
    </xf>
    <xf numFmtId="164" fontId="2" fillId="0" borderId="1" xfId="2" applyNumberFormat="1" applyFont="1" applyFill="1" applyBorder="1" applyAlignment="1">
      <alignment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0" fontId="0" fillId="0" borderId="0" xfId="0" applyFont="1"/>
    <xf numFmtId="0" fontId="0" fillId="0" borderId="0" xfId="0" applyFont="1" applyAlignment="1">
      <alignment horizontal="center"/>
    </xf>
    <xf numFmtId="0" fontId="0" fillId="6" borderId="0" xfId="0" applyFont="1" applyFill="1"/>
    <xf numFmtId="0" fontId="0" fillId="0" borderId="1" xfId="0" applyFont="1" applyBorder="1" applyAlignment="1">
      <alignment horizontal="center" vertical="center" wrapText="1"/>
    </xf>
    <xf numFmtId="0" fontId="23" fillId="0" borderId="1" xfId="0" applyFont="1" applyBorder="1"/>
    <xf numFmtId="165" fontId="0" fillId="2" borderId="1" xfId="2" applyNumberFormat="1" applyFont="1" applyFill="1" applyBorder="1" applyAlignment="1">
      <alignment horizontal="center" vertical="center" wrapText="1"/>
    </xf>
    <xf numFmtId="165" fontId="0" fillId="2" borderId="1" xfId="2" applyNumberFormat="1" applyFont="1" applyFill="1" applyBorder="1"/>
    <xf numFmtId="165" fontId="0" fillId="0" borderId="0" xfId="0" applyNumberFormat="1" applyFont="1"/>
    <xf numFmtId="0" fontId="2" fillId="0" borderId="1" xfId="0" applyFont="1" applyFill="1" applyBorder="1" applyAlignment="1">
      <alignment horizontal="center" vertical="center" wrapText="1"/>
    </xf>
    <xf numFmtId="0" fontId="2" fillId="0" borderId="1" xfId="4" applyFont="1" applyFill="1" applyBorder="1" applyAlignment="1">
      <alignment horizontal="left" vertical="center" wrapText="1"/>
    </xf>
    <xf numFmtId="0" fontId="2" fillId="0" borderId="1" xfId="4" applyFont="1" applyFill="1" applyBorder="1" applyAlignment="1">
      <alignment horizontal="center" vertical="center" wrapText="1"/>
    </xf>
    <xf numFmtId="49" fontId="2" fillId="0" borderId="1" xfId="4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177" fontId="3" fillId="0" borderId="0" xfId="0" applyNumberFormat="1" applyFont="1" applyFill="1" applyAlignment="1">
      <alignment vertical="center"/>
    </xf>
    <xf numFmtId="165" fontId="2" fillId="7" borderId="1" xfId="2" applyNumberFormat="1" applyFont="1" applyFill="1" applyBorder="1" applyAlignment="1">
      <alignment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165" fontId="8" fillId="0" borderId="1" xfId="2" applyNumberFormat="1" applyFont="1" applyFill="1" applyBorder="1" applyAlignment="1">
      <alignment horizontal="center" vertical="center" wrapText="1"/>
    </xf>
    <xf numFmtId="165" fontId="8" fillId="0" borderId="1" xfId="2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left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3" fillId="0" borderId="0" xfId="0" applyFont="1" applyFill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12" fillId="0" borderId="6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1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6" fillId="0" borderId="1" xfId="5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7" xfId="0" applyFont="1" applyFill="1" applyBorder="1" applyAlignment="1">
      <alignment horizontal="left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left" wrapText="1"/>
    </xf>
    <xf numFmtId="0" fontId="3" fillId="0" borderId="0" xfId="0" applyFont="1" applyFill="1" applyAlignment="1">
      <alignment horizontal="left" vertical="center" wrapText="1"/>
    </xf>
    <xf numFmtId="49" fontId="2" fillId="0" borderId="5" xfId="0" applyNumberFormat="1" applyFont="1" applyFill="1" applyBorder="1" applyAlignment="1">
      <alignment horizontal="center" vertical="center" wrapText="1"/>
    </xf>
    <xf numFmtId="49" fontId="2" fillId="0" borderId="7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left" vertical="center" wrapText="1"/>
    </xf>
    <xf numFmtId="16" fontId="2" fillId="0" borderId="5" xfId="0" applyNumberFormat="1" applyFont="1" applyFill="1" applyBorder="1" applyAlignment="1">
      <alignment horizontal="center" vertical="center" wrapText="1"/>
    </xf>
    <xf numFmtId="16" fontId="2" fillId="0" borderId="7" xfId="0" applyNumberFormat="1" applyFont="1" applyFill="1" applyBorder="1" applyAlignment="1">
      <alignment horizontal="center" vertical="center" wrapText="1"/>
    </xf>
    <xf numFmtId="0" fontId="6" fillId="0" borderId="2" xfId="5" applyFont="1" applyBorder="1" applyAlignment="1">
      <alignment horizontal="left" vertical="center" wrapText="1"/>
    </xf>
    <xf numFmtId="0" fontId="6" fillId="0" borderId="3" xfId="5" applyFont="1" applyBorder="1" applyAlignment="1">
      <alignment horizontal="left" vertical="center" wrapText="1"/>
    </xf>
    <xf numFmtId="0" fontId="6" fillId="0" borderId="4" xfId="5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8" fillId="0" borderId="1" xfId="4" applyFont="1" applyFill="1" applyBorder="1" applyAlignment="1">
      <alignment horizontal="left" vertical="center" wrapText="1"/>
    </xf>
    <xf numFmtId="0" fontId="2" fillId="0" borderId="1" xfId="4" applyFont="1" applyFill="1" applyBorder="1" applyAlignment="1">
      <alignment horizontal="left" vertical="center" wrapText="1"/>
    </xf>
    <xf numFmtId="0" fontId="2" fillId="0" borderId="1" xfId="4" applyFont="1" applyFill="1" applyBorder="1" applyAlignment="1">
      <alignment horizontal="center" vertical="center" wrapText="1"/>
    </xf>
    <xf numFmtId="49" fontId="2" fillId="0" borderId="1" xfId="4" applyNumberFormat="1" applyFont="1" applyFill="1" applyBorder="1" applyAlignment="1">
      <alignment horizontal="center" vertical="center" wrapText="1"/>
    </xf>
    <xf numFmtId="0" fontId="8" fillId="0" borderId="1" xfId="5" applyFont="1" applyBorder="1" applyAlignment="1">
      <alignment horizontal="left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6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17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vertical="top" wrapText="1"/>
    </xf>
    <xf numFmtId="0" fontId="2" fillId="3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0" fontId="0" fillId="0" borderId="9" xfId="0" applyBorder="1" applyAlignment="1">
      <alignment horizontal="left" vertical="top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top" wrapText="1"/>
    </xf>
    <xf numFmtId="0" fontId="13" fillId="0" borderId="1" xfId="0" applyFont="1" applyBorder="1" applyAlignment="1">
      <alignment horizontal="left" vertical="top" wrapText="1"/>
    </xf>
    <xf numFmtId="0" fontId="13" fillId="0" borderId="5" xfId="0" applyFont="1" applyBorder="1" applyAlignment="1">
      <alignment horizontal="center" vertical="top" wrapText="1"/>
    </xf>
    <xf numFmtId="0" fontId="13" fillId="0" borderId="7" xfId="0" applyFont="1" applyBorder="1" applyAlignment="1">
      <alignment horizontal="center" vertical="top" wrapText="1"/>
    </xf>
    <xf numFmtId="0" fontId="13" fillId="0" borderId="5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/>
    </xf>
    <xf numFmtId="0" fontId="13" fillId="0" borderId="8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13" fillId="0" borderId="5" xfId="0" applyFont="1" applyBorder="1" applyAlignment="1">
      <alignment horizontal="left" vertical="center" wrapText="1"/>
    </xf>
    <xf numFmtId="0" fontId="13" fillId="0" borderId="8" xfId="0" applyFont="1" applyBorder="1" applyAlignment="1">
      <alignment horizontal="left" vertical="center" wrapText="1"/>
    </xf>
    <xf numFmtId="0" fontId="13" fillId="0" borderId="7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4" xfId="0" applyFont="1" applyBorder="1" applyAlignment="1">
      <alignment vertical="center" wrapText="1"/>
    </xf>
  </cellXfs>
  <cellStyles count="6">
    <cellStyle name="Гиперссылка" xfId="1" builtinId="8"/>
    <cellStyle name="Обычный" xfId="0" builtinId="0"/>
    <cellStyle name="Обычный 2" xfId="4"/>
    <cellStyle name="Обычный 3" xfId="5"/>
    <cellStyle name="Финансовый" xfId="2" builtinId="3"/>
    <cellStyle name="Финансовый 3" xfId="3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590550</xdr:colOff>
      <xdr:row>13</xdr:row>
      <xdr:rowOff>0</xdr:rowOff>
    </xdr:from>
    <xdr:to>
      <xdr:col>1</xdr:col>
      <xdr:colOff>257175</xdr:colOff>
      <xdr:row>13</xdr:row>
      <xdr:rowOff>57150</xdr:rowOff>
    </xdr:to>
    <xdr:sp macro="" textlink="">
      <xdr:nvSpPr>
        <xdr:cNvPr id="17409" name="Надпись 2"/>
        <xdr:cNvSpPr txBox="1">
          <a:spLocks noChangeArrowheads="1"/>
        </xdr:cNvSpPr>
      </xdr:nvSpPr>
      <xdr:spPr bwMode="auto">
        <a:xfrm>
          <a:off x="590550" y="24888825"/>
          <a:ext cx="35242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»;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30"/>
  <sheetViews>
    <sheetView view="pageBreakPreview" topLeftCell="A4" zoomScale="55" zoomScaleNormal="70" zoomScaleSheetLayoutView="55" workbookViewId="0">
      <selection activeCell="A29" sqref="A29:O29"/>
    </sheetView>
  </sheetViews>
  <sheetFormatPr defaultRowHeight="15.75" outlineLevelRow="1" x14ac:dyDescent="0.25"/>
  <cols>
    <col min="1" max="1" width="6.375" style="4" customWidth="1"/>
    <col min="2" max="2" width="24.375" style="1" customWidth="1"/>
    <col min="3" max="3" width="11.75" style="1" customWidth="1"/>
    <col min="4" max="4" width="8.875" style="1" customWidth="1"/>
    <col min="5" max="5" width="12" style="1" customWidth="1"/>
    <col min="6" max="6" width="12.25" style="1" customWidth="1"/>
    <col min="7" max="7" width="11" style="1" customWidth="1"/>
    <col min="8" max="8" width="13.25" style="1" customWidth="1"/>
    <col min="9" max="13" width="10.25" style="1" customWidth="1"/>
    <col min="14" max="15" width="14.875" style="1" customWidth="1"/>
    <col min="16" max="16384" width="9" style="1"/>
  </cols>
  <sheetData>
    <row r="1" spans="1:15" ht="75.75" hidden="1" customHeight="1" outlineLevel="1" x14ac:dyDescent="0.25">
      <c r="J1" s="274" t="s">
        <v>255</v>
      </c>
      <c r="K1" s="274"/>
      <c r="L1" s="274"/>
      <c r="M1" s="274"/>
      <c r="N1" s="274"/>
      <c r="O1" s="274"/>
    </row>
    <row r="2" spans="1:15" hidden="1" outlineLevel="1" x14ac:dyDescent="0.25"/>
    <row r="3" spans="1:15" hidden="1" outlineLevel="1" x14ac:dyDescent="0.25"/>
    <row r="4" spans="1:15" ht="18.75" collapsed="1" x14ac:dyDescent="0.25">
      <c r="J4" s="3" t="s">
        <v>10</v>
      </c>
      <c r="K4" s="3"/>
      <c r="L4" s="3"/>
      <c r="M4" s="3"/>
      <c r="N4" s="30"/>
      <c r="O4" s="30"/>
    </row>
    <row r="5" spans="1:15" ht="56.25" customHeight="1" x14ac:dyDescent="0.25">
      <c r="J5" s="275" t="s">
        <v>139</v>
      </c>
      <c r="K5" s="275"/>
      <c r="L5" s="275"/>
      <c r="M5" s="275"/>
      <c r="N5" s="275"/>
      <c r="O5" s="275"/>
    </row>
    <row r="8" spans="1:15" ht="18.75" x14ac:dyDescent="0.25">
      <c r="A8" s="278" t="s">
        <v>1</v>
      </c>
      <c r="B8" s="278"/>
      <c r="C8" s="278"/>
      <c r="D8" s="278"/>
      <c r="E8" s="278"/>
      <c r="F8" s="278"/>
      <c r="G8" s="278"/>
      <c r="H8" s="278"/>
      <c r="I8" s="278"/>
      <c r="J8" s="278"/>
      <c r="K8" s="278"/>
      <c r="L8" s="278"/>
      <c r="M8" s="278"/>
      <c r="N8" s="278"/>
      <c r="O8" s="278"/>
    </row>
    <row r="9" spans="1:15" ht="18.75" x14ac:dyDescent="0.25">
      <c r="A9" s="278" t="s">
        <v>9</v>
      </c>
      <c r="B9" s="278"/>
      <c r="C9" s="278"/>
      <c r="D9" s="278"/>
      <c r="E9" s="278"/>
      <c r="F9" s="278"/>
      <c r="G9" s="278"/>
      <c r="H9" s="278"/>
      <c r="I9" s="278"/>
      <c r="J9" s="278"/>
      <c r="K9" s="278"/>
      <c r="L9" s="278"/>
      <c r="M9" s="278"/>
      <c r="N9" s="278"/>
      <c r="O9" s="278"/>
    </row>
    <row r="10" spans="1:15" ht="18.75" x14ac:dyDescent="0.25">
      <c r="A10" s="278" t="s">
        <v>7</v>
      </c>
      <c r="B10" s="278"/>
      <c r="C10" s="278"/>
      <c r="D10" s="278"/>
      <c r="E10" s="278"/>
      <c r="F10" s="278"/>
      <c r="G10" s="278"/>
      <c r="H10" s="278"/>
      <c r="I10" s="278"/>
      <c r="J10" s="278"/>
      <c r="K10" s="278"/>
      <c r="L10" s="278"/>
      <c r="M10" s="278"/>
      <c r="N10" s="278"/>
      <c r="O10" s="278"/>
    </row>
    <row r="11" spans="1:15" ht="18.75" x14ac:dyDescent="0.25">
      <c r="A11" s="278" t="s">
        <v>8</v>
      </c>
      <c r="B11" s="278"/>
      <c r="C11" s="278"/>
      <c r="D11" s="278"/>
      <c r="E11" s="278"/>
      <c r="F11" s="278"/>
      <c r="G11" s="278"/>
      <c r="H11" s="278"/>
      <c r="I11" s="278"/>
      <c r="J11" s="278"/>
      <c r="K11" s="278"/>
      <c r="L11" s="278"/>
      <c r="M11" s="278"/>
      <c r="N11" s="278"/>
      <c r="O11" s="278"/>
    </row>
    <row r="12" spans="1:15" ht="18.75" x14ac:dyDescent="0.25">
      <c r="A12" s="2"/>
    </row>
    <row r="13" spans="1:15" ht="24.75" customHeight="1" x14ac:dyDescent="0.25">
      <c r="A13" s="279" t="s">
        <v>19</v>
      </c>
      <c r="B13" s="279" t="s">
        <v>4</v>
      </c>
      <c r="C13" s="279" t="s">
        <v>2</v>
      </c>
      <c r="D13" s="279" t="s">
        <v>90</v>
      </c>
      <c r="E13" s="279" t="s">
        <v>5</v>
      </c>
      <c r="F13" s="279"/>
      <c r="G13" s="279"/>
      <c r="H13" s="279"/>
      <c r="I13" s="279"/>
      <c r="J13" s="279"/>
      <c r="K13" s="279"/>
      <c r="L13" s="279"/>
      <c r="M13" s="279"/>
      <c r="N13" s="279"/>
      <c r="O13" s="279"/>
    </row>
    <row r="14" spans="1:15" ht="72" customHeight="1" x14ac:dyDescent="0.25">
      <c r="A14" s="279"/>
      <c r="B14" s="279"/>
      <c r="C14" s="279"/>
      <c r="D14" s="279"/>
      <c r="E14" s="279" t="s">
        <v>56</v>
      </c>
      <c r="F14" s="279" t="s">
        <v>57</v>
      </c>
      <c r="G14" s="280" t="s">
        <v>61</v>
      </c>
      <c r="H14" s="279" t="s">
        <v>53</v>
      </c>
      <c r="I14" s="279" t="s">
        <v>54</v>
      </c>
      <c r="J14" s="279" t="s">
        <v>55</v>
      </c>
      <c r="K14" s="279" t="s">
        <v>58</v>
      </c>
      <c r="L14" s="279" t="s">
        <v>268</v>
      </c>
      <c r="M14" s="286" t="s">
        <v>291</v>
      </c>
      <c r="N14" s="285" t="s">
        <v>6</v>
      </c>
      <c r="O14" s="285"/>
    </row>
    <row r="15" spans="1:15" x14ac:dyDescent="0.25">
      <c r="A15" s="279"/>
      <c r="B15" s="279"/>
      <c r="C15" s="279"/>
      <c r="D15" s="279"/>
      <c r="E15" s="279"/>
      <c r="F15" s="279"/>
      <c r="G15" s="280"/>
      <c r="H15" s="279"/>
      <c r="I15" s="279"/>
      <c r="J15" s="279"/>
      <c r="K15" s="279"/>
      <c r="L15" s="279"/>
      <c r="M15" s="287"/>
      <c r="N15" s="149" t="s">
        <v>59</v>
      </c>
      <c r="O15" s="149" t="s">
        <v>60</v>
      </c>
    </row>
    <row r="16" spans="1:15" x14ac:dyDescent="0.25">
      <c r="A16" s="149">
        <v>1</v>
      </c>
      <c r="B16" s="149">
        <v>2</v>
      </c>
      <c r="C16" s="149">
        <v>3</v>
      </c>
      <c r="D16" s="149">
        <v>4</v>
      </c>
      <c r="E16" s="149">
        <v>5</v>
      </c>
      <c r="F16" s="149">
        <v>6</v>
      </c>
      <c r="G16" s="149">
        <v>7</v>
      </c>
      <c r="H16" s="149">
        <v>8</v>
      </c>
      <c r="I16" s="149">
        <v>9</v>
      </c>
      <c r="J16" s="149">
        <v>10</v>
      </c>
      <c r="K16" s="149">
        <v>11</v>
      </c>
      <c r="L16" s="197">
        <v>12</v>
      </c>
      <c r="M16" s="259">
        <v>13</v>
      </c>
      <c r="N16" s="197">
        <v>14</v>
      </c>
      <c r="O16" s="197">
        <v>15</v>
      </c>
    </row>
    <row r="17" spans="1:22" s="33" customFormat="1" x14ac:dyDescent="0.25">
      <c r="A17" s="150">
        <v>1</v>
      </c>
      <c r="B17" s="284" t="str">
        <f>'пр 5 к МП'!B13:E13</f>
        <v>Цель муниципальной программы Туруханского района: развитие современной и эффективной транспортной инфраструктуры</v>
      </c>
      <c r="C17" s="284"/>
      <c r="D17" s="284"/>
      <c r="E17" s="284"/>
      <c r="F17" s="284"/>
      <c r="G17" s="284"/>
      <c r="H17" s="284"/>
      <c r="I17" s="284"/>
      <c r="J17" s="284"/>
      <c r="K17" s="284"/>
      <c r="L17" s="284"/>
      <c r="M17" s="284"/>
      <c r="N17" s="284"/>
      <c r="O17" s="284"/>
    </row>
    <row r="18" spans="1:22" s="33" customFormat="1" ht="71.25" customHeight="1" x14ac:dyDescent="0.25">
      <c r="A18" s="282" t="s">
        <v>3</v>
      </c>
      <c r="B18" s="283" t="s">
        <v>136</v>
      </c>
      <c r="C18" s="150" t="s">
        <v>70</v>
      </c>
      <c r="D18" s="219">
        <f>E18</f>
        <v>120.8</v>
      </c>
      <c r="E18" s="74">
        <f>F18</f>
        <v>120.8</v>
      </c>
      <c r="F18" s="74">
        <v>120.8</v>
      </c>
      <c r="G18" s="74">
        <v>130.023</v>
      </c>
      <c r="H18" s="244">
        <v>156.34</v>
      </c>
      <c r="I18" s="220">
        <v>157.30000000000001</v>
      </c>
      <c r="J18" s="220">
        <v>157</v>
      </c>
      <c r="K18" s="220">
        <f t="shared" ref="K18:O19" si="0">J18</f>
        <v>157</v>
      </c>
      <c r="L18" s="220">
        <f t="shared" si="0"/>
        <v>157</v>
      </c>
      <c r="M18" s="220">
        <v>157</v>
      </c>
      <c r="N18" s="220">
        <f>K18</f>
        <v>157</v>
      </c>
      <c r="O18" s="220">
        <f t="shared" si="0"/>
        <v>157</v>
      </c>
    </row>
    <row r="19" spans="1:22" s="33" customFormat="1" ht="71.25" customHeight="1" x14ac:dyDescent="0.25">
      <c r="A19" s="282"/>
      <c r="B19" s="283"/>
      <c r="C19" s="150" t="s">
        <v>135</v>
      </c>
      <c r="D19" s="221">
        <f>E19</f>
        <v>46.39</v>
      </c>
      <c r="E19" s="221">
        <f>F19</f>
        <v>46.39</v>
      </c>
      <c r="F19" s="221">
        <v>46.39</v>
      </c>
      <c r="G19" s="221">
        <v>47.52</v>
      </c>
      <c r="H19" s="245">
        <v>57.14</v>
      </c>
      <c r="I19" s="246">
        <v>57.49</v>
      </c>
      <c r="J19" s="220">
        <v>57.3</v>
      </c>
      <c r="K19" s="220">
        <f t="shared" si="0"/>
        <v>57.3</v>
      </c>
      <c r="L19" s="220">
        <f t="shared" si="0"/>
        <v>57.3</v>
      </c>
      <c r="M19" s="220">
        <f>L19</f>
        <v>57.3</v>
      </c>
      <c r="N19" s="220">
        <f>K19</f>
        <v>57.3</v>
      </c>
      <c r="O19" s="220">
        <f t="shared" si="0"/>
        <v>57.3</v>
      </c>
    </row>
    <row r="20" spans="1:22" x14ac:dyDescent="0.25">
      <c r="A20" s="88">
        <v>2</v>
      </c>
      <c r="B20" s="281" t="str">
        <f>'пр 5 к МП'!B19:E19</f>
        <v>Цель муниципальной программы Туруханского района: повышение доступности транспортных услуг</v>
      </c>
      <c r="C20" s="281"/>
      <c r="D20" s="281"/>
      <c r="E20" s="281"/>
      <c r="F20" s="281"/>
      <c r="G20" s="281"/>
      <c r="H20" s="281"/>
      <c r="I20" s="281"/>
      <c r="J20" s="281"/>
      <c r="K20" s="281"/>
      <c r="L20" s="281"/>
      <c r="M20" s="281"/>
      <c r="N20" s="281"/>
      <c r="O20" s="281"/>
    </row>
    <row r="21" spans="1:22" s="33" customFormat="1" ht="92.25" customHeight="1" x14ac:dyDescent="0.25">
      <c r="A21" s="185" t="s">
        <v>85</v>
      </c>
      <c r="B21" s="186" t="s">
        <v>264</v>
      </c>
      <c r="C21" s="187" t="s">
        <v>123</v>
      </c>
      <c r="D21" s="40">
        <f t="shared" ref="D21:I21" si="1">(D22+D23)*1000/D24</f>
        <v>13.264339719174577</v>
      </c>
      <c r="E21" s="40">
        <f t="shared" si="1"/>
        <v>13.638444873821653</v>
      </c>
      <c r="F21" s="40">
        <f t="shared" si="1"/>
        <v>14.499670875471246</v>
      </c>
      <c r="G21" s="40">
        <f t="shared" si="1"/>
        <v>13.02447428462952</v>
      </c>
      <c r="H21" s="40">
        <f t="shared" si="1"/>
        <v>12.647233936988339</v>
      </c>
      <c r="I21" s="40">
        <f t="shared" si="1"/>
        <v>10.762839884769079</v>
      </c>
      <c r="J21" s="40">
        <f>(J22+J23)*1000/J24</f>
        <v>10.960933211691271</v>
      </c>
      <c r="K21" s="40">
        <f>(K22+K23)*1000/K24</f>
        <v>10.96093321169127</v>
      </c>
      <c r="L21" s="40">
        <f>(L22+L23)*1000/L24</f>
        <v>10.96093321169127</v>
      </c>
      <c r="M21" s="40">
        <f>L21</f>
        <v>10.96093321169127</v>
      </c>
      <c r="N21" s="40">
        <f t="shared" ref="N21:O21" si="2">(N22+N23)*1000/N24</f>
        <v>10.960933211691266</v>
      </c>
      <c r="O21" s="40">
        <f t="shared" si="2"/>
        <v>10.960933211691268</v>
      </c>
    </row>
    <row r="22" spans="1:22" s="39" customFormat="1" ht="31.5" hidden="1" outlineLevel="1" x14ac:dyDescent="0.25">
      <c r="A22" s="35"/>
      <c r="B22" s="36" t="s">
        <v>151</v>
      </c>
      <c r="C22" s="37" t="s">
        <v>78</v>
      </c>
      <c r="D22" s="54">
        <v>9.3330000000000002</v>
      </c>
      <c r="E22" s="54">
        <f>(777+712+747+993+692+638+635+689+608+702+764+974)/1000</f>
        <v>8.9309999999999992</v>
      </c>
      <c r="F22" s="213">
        <f>(667+666+804+826+713+647+657+674+580+594+714+762)/1000</f>
        <v>8.3040000000000003</v>
      </c>
      <c r="G22" s="213">
        <v>8.2880000000000003</v>
      </c>
      <c r="H22" s="213">
        <v>7.5739999999999998</v>
      </c>
      <c r="I22" s="213">
        <v>7.8719999999999999</v>
      </c>
      <c r="J22" s="213">
        <f t="shared" ref="J22" si="3">I22</f>
        <v>7.8719999999999999</v>
      </c>
      <c r="K22" s="213">
        <f>K23/J23*J22</f>
        <v>7.733192612137203</v>
      </c>
      <c r="L22" s="213">
        <f>L23/K23*K22</f>
        <v>7.6004643799472298</v>
      </c>
      <c r="M22" s="213"/>
      <c r="N22" s="213">
        <f>N23/K23*K22</f>
        <v>7.1455408970976242</v>
      </c>
      <c r="O22" s="213">
        <f t="shared" ref="O22" si="4">O23/N23*N22</f>
        <v>6.8238522427440627</v>
      </c>
      <c r="P22" s="33"/>
      <c r="S22" s="39">
        <f>T22/U22</f>
        <v>8750.4156067643489</v>
      </c>
      <c r="T22" s="39">
        <f>745+450+643+899+919+825+673+707</f>
        <v>5861</v>
      </c>
      <c r="U22" s="39">
        <f>AVERAGE(U23:U24)</f>
        <v>0.66979675747849754</v>
      </c>
      <c r="V22" s="39">
        <f>700*5</f>
        <v>3500</v>
      </c>
    </row>
    <row r="23" spans="1:22" s="39" customFormat="1" ht="31.5" hidden="1" outlineLevel="1" x14ac:dyDescent="0.25">
      <c r="A23" s="35"/>
      <c r="B23" s="36" t="s">
        <v>152</v>
      </c>
      <c r="C23" s="37" t="s">
        <v>78</v>
      </c>
      <c r="D23" s="54">
        <v>224</v>
      </c>
      <c r="E23" s="54">
        <v>224</v>
      </c>
      <c r="F23" s="54">
        <v>234</v>
      </c>
      <c r="G23" s="213">
        <v>205.6129411764706</v>
      </c>
      <c r="H23" s="213">
        <v>196.34999999999997</v>
      </c>
      <c r="I23" s="213">
        <v>162.44994117647065</v>
      </c>
      <c r="J23" s="213">
        <v>162.44994117647065</v>
      </c>
      <c r="K23" s="188">
        <f>K24/J24*J23</f>
        <v>159.58545286433002</v>
      </c>
      <c r="L23" s="188">
        <f>L24/K24*K23</f>
        <v>156.84641659505689</v>
      </c>
      <c r="M23" s="188"/>
      <c r="N23" s="188">
        <f>N24/K24*K23</f>
        <v>147.45842205380771</v>
      </c>
      <c r="O23" s="188">
        <f t="shared" ref="O23" si="5">O24/N24*N23</f>
        <v>140.81991811873732</v>
      </c>
      <c r="P23" s="33"/>
      <c r="S23" s="39">
        <f>777+712+747+993+692+638+635+689+608+702+764+974</f>
        <v>8931</v>
      </c>
      <c r="T23" s="39">
        <f>777+712+747+993+692+638+635+689</f>
        <v>5883</v>
      </c>
      <c r="U23" s="39">
        <f>T23/S23</f>
        <v>0.65871682902250583</v>
      </c>
    </row>
    <row r="24" spans="1:22" s="39" customFormat="1" ht="31.5" hidden="1" outlineLevel="1" x14ac:dyDescent="0.25">
      <c r="A24" s="35"/>
      <c r="B24" s="36" t="s">
        <v>125</v>
      </c>
      <c r="C24" s="37" t="s">
        <v>83</v>
      </c>
      <c r="D24" s="38">
        <v>17591</v>
      </c>
      <c r="E24" s="38">
        <v>17079</v>
      </c>
      <c r="F24" s="38">
        <v>16711</v>
      </c>
      <c r="G24" s="211">
        <v>16423</v>
      </c>
      <c r="H24" s="211">
        <v>16124</v>
      </c>
      <c r="I24" s="211">
        <v>15825</v>
      </c>
      <c r="J24" s="211">
        <v>15539</v>
      </c>
      <c r="K24" s="212">
        <v>15265</v>
      </c>
      <c r="L24" s="212">
        <v>15003</v>
      </c>
      <c r="M24" s="212"/>
      <c r="N24" s="212">
        <v>14105</v>
      </c>
      <c r="O24" s="212">
        <v>13470</v>
      </c>
      <c r="P24" s="33"/>
      <c r="S24" s="39">
        <f>667+666+804+826+713+647+657+674+580+594+714+762</f>
        <v>8304</v>
      </c>
      <c r="T24" s="39">
        <f>667+666+804+826+713+647+657+674</f>
        <v>5654</v>
      </c>
      <c r="U24" s="39">
        <f>T24/S24</f>
        <v>0.68087668593448936</v>
      </c>
    </row>
    <row r="25" spans="1:22" ht="15.75" customHeight="1" collapsed="1" x14ac:dyDescent="0.25">
      <c r="A25" s="88">
        <v>3</v>
      </c>
      <c r="B25" s="281" t="str">
        <f>'пр 5 к МП'!B24:E24</f>
        <v>Цель муниципальной программы Туруханского района: повышение безопасности дорожного движения</v>
      </c>
      <c r="C25" s="281"/>
      <c r="D25" s="281"/>
      <c r="E25" s="281"/>
      <c r="F25" s="281"/>
      <c r="G25" s="281"/>
      <c r="H25" s="281"/>
      <c r="I25" s="281"/>
      <c r="J25" s="281"/>
      <c r="K25" s="281"/>
      <c r="L25" s="281"/>
      <c r="M25" s="281"/>
      <c r="N25" s="281"/>
      <c r="O25" s="281"/>
      <c r="P25" s="33"/>
    </row>
    <row r="26" spans="1:22" ht="54" customHeight="1" x14ac:dyDescent="0.25">
      <c r="A26" s="29" t="s">
        <v>117</v>
      </c>
      <c r="B26" s="89" t="s">
        <v>82</v>
      </c>
      <c r="C26" s="88" t="s">
        <v>83</v>
      </c>
      <c r="D26" s="89">
        <v>2</v>
      </c>
      <c r="E26" s="89">
        <v>1</v>
      </c>
      <c r="F26" s="89">
        <v>2</v>
      </c>
      <c r="G26" s="89">
        <v>0</v>
      </c>
      <c r="H26" s="148">
        <v>3</v>
      </c>
      <c r="I26" s="148">
        <v>3</v>
      </c>
      <c r="J26" s="243">
        <v>1</v>
      </c>
      <c r="K26" s="243">
        <v>1</v>
      </c>
      <c r="L26" s="243">
        <v>1</v>
      </c>
      <c r="M26" s="260">
        <f>L26</f>
        <v>1</v>
      </c>
      <c r="N26" s="243">
        <v>1</v>
      </c>
      <c r="O26" s="243">
        <v>1</v>
      </c>
      <c r="P26" s="33"/>
    </row>
    <row r="27" spans="1:22" s="33" customFormat="1" x14ac:dyDescent="0.25">
      <c r="A27" s="91">
        <v>4</v>
      </c>
      <c r="B27" s="281" t="str">
        <f>'пр 5 к МП'!B29:E29</f>
        <v>Цель муниципальной программы Туруханского района: развитие телекоммуникационных услуг на территории района</v>
      </c>
      <c r="C27" s="281"/>
      <c r="D27" s="281"/>
      <c r="E27" s="281"/>
      <c r="F27" s="281"/>
      <c r="G27" s="281"/>
      <c r="H27" s="281"/>
      <c r="I27" s="281"/>
      <c r="J27" s="281"/>
      <c r="K27" s="281"/>
      <c r="L27" s="281"/>
      <c r="M27" s="281"/>
      <c r="N27" s="281"/>
      <c r="O27" s="281"/>
    </row>
    <row r="28" spans="1:22" s="33" customFormat="1" ht="47.25" x14ac:dyDescent="0.25">
      <c r="A28" s="32" t="s">
        <v>118</v>
      </c>
      <c r="B28" s="53" t="s">
        <v>89</v>
      </c>
      <c r="C28" s="91" t="s">
        <v>88</v>
      </c>
      <c r="D28" s="90">
        <v>8</v>
      </c>
      <c r="E28" s="90">
        <v>8</v>
      </c>
      <c r="F28" s="90">
        <v>8</v>
      </c>
      <c r="G28" s="90">
        <v>8</v>
      </c>
      <c r="H28" s="148">
        <v>8</v>
      </c>
      <c r="I28" s="148">
        <v>8</v>
      </c>
      <c r="J28" s="148">
        <v>8</v>
      </c>
      <c r="K28" s="148">
        <v>8</v>
      </c>
      <c r="L28" s="198">
        <v>8</v>
      </c>
      <c r="M28" s="260">
        <f>L28</f>
        <v>8</v>
      </c>
      <c r="N28" s="148">
        <v>8</v>
      </c>
      <c r="O28" s="148">
        <v>8</v>
      </c>
    </row>
    <row r="29" spans="1:22" ht="38.25" customHeight="1" x14ac:dyDescent="0.25">
      <c r="A29" s="276" t="s">
        <v>211</v>
      </c>
      <c r="B29" s="277"/>
      <c r="C29" s="277"/>
      <c r="D29" s="277"/>
      <c r="E29" s="277"/>
      <c r="F29" s="277"/>
      <c r="G29" s="277"/>
      <c r="H29" s="277"/>
      <c r="I29" s="277"/>
      <c r="J29" s="277"/>
      <c r="K29" s="277"/>
      <c r="L29" s="277"/>
      <c r="M29" s="277"/>
      <c r="N29" s="277"/>
      <c r="O29" s="277"/>
    </row>
    <row r="30" spans="1:22" ht="18.75" x14ac:dyDescent="0.25">
      <c r="A30" s="2"/>
    </row>
  </sheetData>
  <mergeCells count="28">
    <mergeCell ref="I14:I15"/>
    <mergeCell ref="B27:O27"/>
    <mergeCell ref="A18:A19"/>
    <mergeCell ref="B18:B19"/>
    <mergeCell ref="J14:J15"/>
    <mergeCell ref="B17:O17"/>
    <mergeCell ref="B20:O20"/>
    <mergeCell ref="B25:O25"/>
    <mergeCell ref="K14:K15"/>
    <mergeCell ref="N14:O14"/>
    <mergeCell ref="L14:L15"/>
    <mergeCell ref="M14:M15"/>
    <mergeCell ref="J1:O1"/>
    <mergeCell ref="J5:O5"/>
    <mergeCell ref="A29:O29"/>
    <mergeCell ref="A8:O8"/>
    <mergeCell ref="A9:O9"/>
    <mergeCell ref="A10:O10"/>
    <mergeCell ref="A11:O11"/>
    <mergeCell ref="A13:A15"/>
    <mergeCell ref="B13:B15"/>
    <mergeCell ref="C13:C15"/>
    <mergeCell ref="D13:D15"/>
    <mergeCell ref="E13:O13"/>
    <mergeCell ref="E14:E15"/>
    <mergeCell ref="F14:F15"/>
    <mergeCell ref="G14:G15"/>
    <mergeCell ref="H14:H15"/>
  </mergeCells>
  <pageMargins left="0.78740157480314965" right="0.78740157480314965" top="1.1811023622047245" bottom="0.39370078740157483" header="0.31496062992125984" footer="0.31496062992125984"/>
  <pageSetup paperSize="9" scale="66" fitToHeight="0" orientation="landscape" r:id="rId1"/>
  <rowBreaks count="1" manualBreakCount="1">
    <brk id="24" max="1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2"/>
  <sheetViews>
    <sheetView view="pageBreakPreview" zoomScale="115" zoomScaleNormal="100" zoomScaleSheetLayoutView="115" workbookViewId="0">
      <selection activeCell="J2" sqref="J2"/>
    </sheetView>
  </sheetViews>
  <sheetFormatPr defaultRowHeight="15.75" outlineLevelRow="1" x14ac:dyDescent="0.25"/>
  <cols>
    <col min="1" max="1" width="6.625" style="4" customWidth="1"/>
    <col min="2" max="2" width="15.75" style="1" customWidth="1"/>
    <col min="3" max="3" width="62.125" style="1" customWidth="1"/>
    <col min="4" max="4" width="16.375" style="1" customWidth="1"/>
    <col min="5" max="5" width="16.375" style="206" customWidth="1"/>
    <col min="6" max="6" width="13.25" style="1" customWidth="1"/>
    <col min="7" max="16384" width="9" style="1"/>
  </cols>
  <sheetData>
    <row r="1" spans="1:5" ht="18.75" x14ac:dyDescent="0.25">
      <c r="D1" s="329" t="s">
        <v>164</v>
      </c>
      <c r="E1" s="329"/>
    </row>
    <row r="2" spans="1:5" ht="73.5" customHeight="1" x14ac:dyDescent="0.25">
      <c r="D2" s="275" t="str">
        <f>CONCATENATE("к муниципальной программе Туруханского района """,'пр 6 к МП'!C17,"""")</f>
        <v>к муниципальной программе Туруханского района "Развитие транспортной системы и связи Туруханского района"</v>
      </c>
      <c r="E2" s="275"/>
    </row>
    <row r="3" spans="1:5" ht="18.75" x14ac:dyDescent="0.25">
      <c r="A3" s="13"/>
    </row>
    <row r="4" spans="1:5" ht="18.75" x14ac:dyDescent="0.25">
      <c r="A4" s="13"/>
    </row>
    <row r="5" spans="1:5" ht="18.75" x14ac:dyDescent="0.25">
      <c r="A5" s="278" t="s">
        <v>0</v>
      </c>
      <c r="B5" s="278"/>
      <c r="C5" s="278"/>
      <c r="D5" s="278"/>
      <c r="E5" s="278"/>
    </row>
    <row r="6" spans="1:5" ht="18.75" x14ac:dyDescent="0.25">
      <c r="A6" s="278" t="s">
        <v>16</v>
      </c>
      <c r="B6" s="278"/>
      <c r="C6" s="278"/>
      <c r="D6" s="278"/>
      <c r="E6" s="278"/>
    </row>
    <row r="7" spans="1:5" ht="18.75" x14ac:dyDescent="0.25">
      <c r="A7" s="278" t="s">
        <v>17</v>
      </c>
      <c r="B7" s="278"/>
      <c r="C7" s="278"/>
      <c r="D7" s="278"/>
      <c r="E7" s="278"/>
    </row>
    <row r="8" spans="1:5" ht="18.75" x14ac:dyDescent="0.25">
      <c r="A8" s="278" t="s">
        <v>18</v>
      </c>
      <c r="B8" s="278"/>
      <c r="C8" s="278"/>
      <c r="D8" s="278"/>
      <c r="E8" s="278"/>
    </row>
    <row r="9" spans="1:5" ht="18.75" x14ac:dyDescent="0.25">
      <c r="A9" s="278" t="str">
        <f>CONCATENATE("Туруханского района """,'пр 6 к МП'!C17,"""")</f>
        <v>Туруханского района "Развитие транспортной системы и связи Туруханского района"</v>
      </c>
      <c r="B9" s="278"/>
      <c r="C9" s="278"/>
      <c r="D9" s="278"/>
      <c r="E9" s="278"/>
    </row>
    <row r="10" spans="1:5" ht="18.75" x14ac:dyDescent="0.25">
      <c r="A10" s="13"/>
    </row>
    <row r="11" spans="1:5" ht="63" x14ac:dyDescent="0.25">
      <c r="A11" s="17" t="s">
        <v>19</v>
      </c>
      <c r="B11" s="17" t="s">
        <v>11</v>
      </c>
      <c r="C11" s="17" t="s">
        <v>12</v>
      </c>
      <c r="D11" s="17" t="s">
        <v>13</v>
      </c>
      <c r="E11" s="207" t="s">
        <v>14</v>
      </c>
    </row>
    <row r="12" spans="1:5" x14ac:dyDescent="0.25">
      <c r="A12" s="17">
        <v>1</v>
      </c>
      <c r="B12" s="17">
        <v>2</v>
      </c>
      <c r="C12" s="17">
        <v>3</v>
      </c>
      <c r="D12" s="17">
        <v>4</v>
      </c>
      <c r="E12" s="197">
        <v>5</v>
      </c>
    </row>
    <row r="13" spans="1:5" ht="41.25" customHeight="1" x14ac:dyDescent="0.25">
      <c r="A13" s="18">
        <v>1</v>
      </c>
      <c r="B13" s="330" t="s">
        <v>153</v>
      </c>
      <c r="C13" s="330"/>
      <c r="D13" s="330"/>
      <c r="E13" s="330"/>
    </row>
    <row r="14" spans="1:5" ht="36" customHeight="1" x14ac:dyDescent="0.25">
      <c r="A14" s="279" t="s">
        <v>3</v>
      </c>
      <c r="B14" s="331" t="s">
        <v>154</v>
      </c>
      <c r="C14" s="331"/>
      <c r="D14" s="331"/>
      <c r="E14" s="331"/>
    </row>
    <row r="15" spans="1:5" ht="39.75" customHeight="1" x14ac:dyDescent="0.25">
      <c r="A15" s="279"/>
      <c r="B15" s="318" t="str">
        <f>CONCATENATE("Подпрограмма 1 """,'пр 6 к МП'!C23,"""")</f>
        <v>Подпрограмма 1 "Развитие транспортного комплекса, обеспечение сохранности и модернизации автомобильных дорог Туруханского района"</v>
      </c>
      <c r="C15" s="318"/>
      <c r="D15" s="318"/>
      <c r="E15" s="318"/>
    </row>
    <row r="16" spans="1:5" ht="94.5" x14ac:dyDescent="0.25">
      <c r="A16" s="52" t="s">
        <v>127</v>
      </c>
      <c r="B16" s="49" t="s">
        <v>155</v>
      </c>
      <c r="C16" s="49" t="s">
        <v>156</v>
      </c>
      <c r="D16" s="52" t="s">
        <v>66</v>
      </c>
      <c r="E16" s="208">
        <v>43435</v>
      </c>
    </row>
    <row r="17" spans="1:5" ht="94.5" x14ac:dyDescent="0.25">
      <c r="A17" s="52" t="s">
        <v>160</v>
      </c>
      <c r="B17" s="49" t="s">
        <v>155</v>
      </c>
      <c r="C17" s="49" t="s">
        <v>157</v>
      </c>
      <c r="D17" s="52" t="s">
        <v>66</v>
      </c>
      <c r="E17" s="208">
        <v>43525</v>
      </c>
    </row>
    <row r="18" spans="1:5" ht="31.5" x14ac:dyDescent="0.25">
      <c r="A18" s="52" t="s">
        <v>161</v>
      </c>
      <c r="B18" s="49" t="s">
        <v>155</v>
      </c>
      <c r="C18" s="49" t="s">
        <v>158</v>
      </c>
      <c r="D18" s="52" t="s">
        <v>159</v>
      </c>
      <c r="E18" s="208">
        <v>43405</v>
      </c>
    </row>
    <row r="19" spans="1:5" ht="18" customHeight="1" x14ac:dyDescent="0.25">
      <c r="A19" s="18">
        <v>2</v>
      </c>
      <c r="B19" s="330" t="s">
        <v>148</v>
      </c>
      <c r="C19" s="330"/>
      <c r="D19" s="330"/>
      <c r="E19" s="330"/>
    </row>
    <row r="20" spans="1:5" ht="18" customHeight="1" x14ac:dyDescent="0.25">
      <c r="A20" s="279" t="s">
        <v>85</v>
      </c>
      <c r="B20" s="281" t="s">
        <v>126</v>
      </c>
      <c r="C20" s="281"/>
      <c r="D20" s="281"/>
      <c r="E20" s="281"/>
    </row>
    <row r="21" spans="1:5" ht="18" customHeight="1" x14ac:dyDescent="0.25">
      <c r="A21" s="279"/>
      <c r="B21" s="318" t="str">
        <f>CONCATENATE("Подпрограмма 2 """,'пр 6 к МП'!C27,"""")</f>
        <v>Подпрограмма 2 "Организация транспортного обслуживания  на территории Туруханского района"</v>
      </c>
      <c r="C21" s="318"/>
      <c r="D21" s="318"/>
      <c r="E21" s="318"/>
    </row>
    <row r="22" spans="1:5" ht="189" x14ac:dyDescent="0.25">
      <c r="A22" s="17" t="s">
        <v>128</v>
      </c>
      <c r="B22" s="16" t="s">
        <v>109</v>
      </c>
      <c r="C22" s="16" t="s">
        <v>111</v>
      </c>
      <c r="D22" s="17" t="s">
        <v>94</v>
      </c>
      <c r="E22" s="208">
        <v>43435</v>
      </c>
    </row>
    <row r="23" spans="1:5" ht="204.75" x14ac:dyDescent="0.25">
      <c r="A23" s="17" t="s">
        <v>130</v>
      </c>
      <c r="B23" s="16" t="s">
        <v>109</v>
      </c>
      <c r="C23" s="16" t="s">
        <v>110</v>
      </c>
      <c r="D23" s="17" t="s">
        <v>94</v>
      </c>
      <c r="E23" s="208">
        <v>43435</v>
      </c>
    </row>
    <row r="24" spans="1:5" ht="19.5" customHeight="1" x14ac:dyDescent="0.25">
      <c r="A24" s="18">
        <v>3</v>
      </c>
      <c r="B24" s="326" t="s">
        <v>122</v>
      </c>
      <c r="C24" s="327"/>
      <c r="D24" s="327"/>
      <c r="E24" s="328"/>
    </row>
    <row r="25" spans="1:5" ht="24" customHeight="1" x14ac:dyDescent="0.25">
      <c r="A25" s="286" t="s">
        <v>117</v>
      </c>
      <c r="B25" s="322" t="s">
        <v>132</v>
      </c>
      <c r="C25" s="323"/>
      <c r="D25" s="323"/>
      <c r="E25" s="324"/>
    </row>
    <row r="26" spans="1:5" ht="17.25" customHeight="1" x14ac:dyDescent="0.25">
      <c r="A26" s="287"/>
      <c r="B26" s="319" t="str">
        <f>CONCATENATE("Подпрограмма 3 """,'пр 6 к МП'!C32,"""")</f>
        <v>Подпрограмма 3 "Безопасность дорожного движения в Туруханском районе"</v>
      </c>
      <c r="C26" s="320"/>
      <c r="D26" s="320"/>
      <c r="E26" s="321"/>
    </row>
    <row r="27" spans="1:5" hidden="1" outlineLevel="1" x14ac:dyDescent="0.25">
      <c r="A27" s="41" t="s">
        <v>129</v>
      </c>
      <c r="B27" s="34"/>
      <c r="C27" s="34"/>
      <c r="D27" s="34"/>
      <c r="E27" s="209"/>
    </row>
    <row r="28" spans="1:5" hidden="1" outlineLevel="1" x14ac:dyDescent="0.25">
      <c r="A28" s="17"/>
      <c r="B28" s="16"/>
      <c r="C28" s="16"/>
      <c r="D28" s="16"/>
      <c r="E28" s="210"/>
    </row>
    <row r="29" spans="1:5" collapsed="1" x14ac:dyDescent="0.25">
      <c r="A29" s="18">
        <v>4</v>
      </c>
      <c r="B29" s="325" t="s">
        <v>149</v>
      </c>
      <c r="C29" s="325"/>
      <c r="D29" s="325"/>
      <c r="E29" s="325"/>
    </row>
    <row r="30" spans="1:5" ht="36" customHeight="1" x14ac:dyDescent="0.25">
      <c r="A30" s="279" t="s">
        <v>118</v>
      </c>
      <c r="B30" s="281" t="s">
        <v>150</v>
      </c>
      <c r="C30" s="281"/>
      <c r="D30" s="281"/>
      <c r="E30" s="281"/>
    </row>
    <row r="31" spans="1:5" ht="31.5" customHeight="1" x14ac:dyDescent="0.25">
      <c r="A31" s="279"/>
      <c r="B31" s="318" t="str">
        <f>CONCATENATE("Подпрограмма 4 """,'пр 6 к МП'!C36,"""")</f>
        <v>Подпрограмма 4 "Развитие связи на территории Туруханского района"</v>
      </c>
      <c r="C31" s="318"/>
      <c r="D31" s="318"/>
      <c r="E31" s="318"/>
    </row>
    <row r="32" spans="1:5" ht="78.75" x14ac:dyDescent="0.25">
      <c r="A32" s="17" t="s">
        <v>131</v>
      </c>
      <c r="B32" s="16" t="s">
        <v>114</v>
      </c>
      <c r="C32" s="16" t="s">
        <v>112</v>
      </c>
      <c r="D32" s="17" t="s">
        <v>113</v>
      </c>
      <c r="E32" s="207">
        <v>43435</v>
      </c>
    </row>
  </sheetData>
  <mergeCells count="23">
    <mergeCell ref="D1:E1"/>
    <mergeCell ref="D2:E2"/>
    <mergeCell ref="B19:E19"/>
    <mergeCell ref="B20:E20"/>
    <mergeCell ref="B13:E13"/>
    <mergeCell ref="B14:E14"/>
    <mergeCell ref="A5:E5"/>
    <mergeCell ref="A6:E6"/>
    <mergeCell ref="A7:E7"/>
    <mergeCell ref="A8:E8"/>
    <mergeCell ref="A9:E9"/>
    <mergeCell ref="A14:A15"/>
    <mergeCell ref="A20:A21"/>
    <mergeCell ref="A25:A26"/>
    <mergeCell ref="A30:A31"/>
    <mergeCell ref="B15:E15"/>
    <mergeCell ref="B21:E21"/>
    <mergeCell ref="B26:E26"/>
    <mergeCell ref="B31:E31"/>
    <mergeCell ref="B25:E25"/>
    <mergeCell ref="B29:E29"/>
    <mergeCell ref="B30:E30"/>
    <mergeCell ref="B24:E24"/>
  </mergeCells>
  <pageMargins left="0.78740157480314965" right="0.78740157480314965" top="1.1811023622047245" bottom="0.39370078740157483" header="0.31496062992125984" footer="0.31496062992125984"/>
  <pageSetup paperSize="9" fitToHeight="0" orientation="landscape" r:id="rId1"/>
  <rowBreaks count="1" manualBreakCount="1">
    <brk id="23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L57"/>
  <sheetViews>
    <sheetView view="pageBreakPreview" topLeftCell="A25" zoomScale="70" zoomScaleNormal="70" zoomScaleSheetLayoutView="70" zoomScalePageLayoutView="85" workbookViewId="0">
      <selection activeCell="Q32" sqref="Q32"/>
    </sheetView>
  </sheetViews>
  <sheetFormatPr defaultRowHeight="15.75" outlineLevelRow="1" x14ac:dyDescent="0.25"/>
  <cols>
    <col min="1" max="1" width="4.875" style="4" customWidth="1"/>
    <col min="2" max="2" width="16.625" style="1" customWidth="1"/>
    <col min="3" max="3" width="17.375" style="1" customWidth="1"/>
    <col min="4" max="4" width="25.625" style="1" customWidth="1"/>
    <col min="5" max="5" width="9" style="4"/>
    <col min="6" max="8" width="9" style="1"/>
    <col min="9" max="9" width="14.625" style="1" customWidth="1"/>
    <col min="10" max="10" width="18.625" style="1" bestFit="1" customWidth="1"/>
    <col min="11" max="11" width="14.25" style="1" customWidth="1"/>
    <col min="12" max="12" width="18.125" style="1" bestFit="1" customWidth="1"/>
    <col min="13" max="16384" width="9" style="1"/>
  </cols>
  <sheetData>
    <row r="1" spans="1:12" ht="84" hidden="1" customHeight="1" outlineLevel="1" x14ac:dyDescent="0.3">
      <c r="J1" s="296" t="s">
        <v>257</v>
      </c>
      <c r="K1" s="296"/>
      <c r="L1" s="296"/>
    </row>
    <row r="2" spans="1:12" hidden="1" outlineLevel="1" x14ac:dyDescent="0.25"/>
    <row r="3" spans="1:12" hidden="1" outlineLevel="1" x14ac:dyDescent="0.25"/>
    <row r="4" spans="1:12" ht="15.75" customHeight="1" collapsed="1" x14ac:dyDescent="0.25">
      <c r="J4" s="113" t="s">
        <v>165</v>
      </c>
      <c r="K4" s="113"/>
      <c r="L4" s="20"/>
    </row>
    <row r="5" spans="1:12" ht="66" customHeight="1" x14ac:dyDescent="0.25">
      <c r="J5" s="275" t="str">
        <f>CONCATENATE("к муниципальной программе Туруханского района """,'пр 6 к МП'!C17,"""")</f>
        <v>к муниципальной программе Туруханского района "Развитие транспортной системы и связи Туруханского района"</v>
      </c>
      <c r="K5" s="275"/>
      <c r="L5" s="275"/>
    </row>
    <row r="6" spans="1:12" ht="18.75" x14ac:dyDescent="0.25">
      <c r="A6" s="111"/>
    </row>
    <row r="7" spans="1:12" ht="18.75" x14ac:dyDescent="0.25">
      <c r="A7" s="111"/>
    </row>
    <row r="8" spans="1:12" ht="18.75" x14ac:dyDescent="0.25">
      <c r="A8" s="278" t="s">
        <v>0</v>
      </c>
      <c r="B8" s="278"/>
      <c r="C8" s="278"/>
      <c r="D8" s="278"/>
      <c r="E8" s="278"/>
      <c r="F8" s="278"/>
      <c r="G8" s="278"/>
      <c r="H8" s="278"/>
      <c r="I8" s="278"/>
      <c r="J8" s="278"/>
      <c r="K8" s="278"/>
      <c r="L8" s="278"/>
    </row>
    <row r="9" spans="1:12" ht="18.75" x14ac:dyDescent="0.25">
      <c r="A9" s="278" t="s">
        <v>115</v>
      </c>
      <c r="B9" s="278"/>
      <c r="C9" s="278"/>
      <c r="D9" s="278"/>
      <c r="E9" s="278"/>
      <c r="F9" s="278"/>
      <c r="G9" s="278"/>
      <c r="H9" s="278"/>
      <c r="I9" s="278"/>
      <c r="J9" s="278"/>
      <c r="K9" s="278"/>
      <c r="L9" s="278"/>
    </row>
    <row r="10" spans="1:12" ht="18.75" x14ac:dyDescent="0.25">
      <c r="A10" s="278" t="s">
        <v>116</v>
      </c>
      <c r="B10" s="278"/>
      <c r="C10" s="278"/>
      <c r="D10" s="278"/>
      <c r="E10" s="278"/>
      <c r="F10" s="278"/>
      <c r="G10" s="278"/>
      <c r="H10" s="278"/>
      <c r="I10" s="278"/>
      <c r="J10" s="278"/>
      <c r="K10" s="278"/>
      <c r="L10" s="278"/>
    </row>
    <row r="11" spans="1:12" ht="18.75" x14ac:dyDescent="0.25">
      <c r="A11" s="278" t="s">
        <v>36</v>
      </c>
      <c r="B11" s="278"/>
      <c r="C11" s="278"/>
      <c r="D11" s="278"/>
      <c r="E11" s="278"/>
      <c r="F11" s="278"/>
      <c r="G11" s="278"/>
      <c r="H11" s="278"/>
      <c r="I11" s="278"/>
      <c r="J11" s="278"/>
      <c r="K11" s="278"/>
      <c r="L11" s="278"/>
    </row>
    <row r="12" spans="1:12" ht="18.75" x14ac:dyDescent="0.25">
      <c r="A12" s="111"/>
    </row>
    <row r="13" spans="1:12" ht="18.75" x14ac:dyDescent="0.25">
      <c r="L13" s="5" t="s">
        <v>212</v>
      </c>
    </row>
    <row r="14" spans="1:12" ht="36" customHeight="1" x14ac:dyDescent="0.25">
      <c r="A14" s="334" t="s">
        <v>19</v>
      </c>
      <c r="B14" s="335" t="s">
        <v>33</v>
      </c>
      <c r="C14" s="334" t="s">
        <v>34</v>
      </c>
      <c r="D14" s="334" t="s">
        <v>22</v>
      </c>
      <c r="E14" s="334" t="s">
        <v>23</v>
      </c>
      <c r="F14" s="334"/>
      <c r="G14" s="334"/>
      <c r="H14" s="334"/>
      <c r="I14" s="146">
        <f>'пр 7 к МП'!K$16</f>
        <v>2020</v>
      </c>
      <c r="J14" s="204">
        <f>'пр 7 к МП'!L$16</f>
        <v>2021</v>
      </c>
      <c r="K14" s="204">
        <f>'пр 7 к МП'!M$16</f>
        <v>2022</v>
      </c>
      <c r="L14" s="334" t="s">
        <v>24</v>
      </c>
    </row>
    <row r="15" spans="1:12" ht="36" customHeight="1" x14ac:dyDescent="0.25">
      <c r="A15" s="334"/>
      <c r="B15" s="335"/>
      <c r="C15" s="334"/>
      <c r="D15" s="334"/>
      <c r="E15" s="114" t="s">
        <v>25</v>
      </c>
      <c r="F15" s="114" t="s">
        <v>26</v>
      </c>
      <c r="G15" s="114" t="s">
        <v>27</v>
      </c>
      <c r="H15" s="114" t="s">
        <v>28</v>
      </c>
      <c r="I15" s="114" t="s">
        <v>29</v>
      </c>
      <c r="J15" s="114" t="s">
        <v>29</v>
      </c>
      <c r="K15" s="114" t="s">
        <v>29</v>
      </c>
      <c r="L15" s="334"/>
    </row>
    <row r="16" spans="1:12" x14ac:dyDescent="0.25">
      <c r="A16" s="110">
        <v>1</v>
      </c>
      <c r="B16" s="110">
        <v>2</v>
      </c>
      <c r="C16" s="110">
        <v>3</v>
      </c>
      <c r="D16" s="110">
        <v>4</v>
      </c>
      <c r="E16" s="110">
        <v>5</v>
      </c>
      <c r="F16" s="110">
        <v>6</v>
      </c>
      <c r="G16" s="110">
        <v>7</v>
      </c>
      <c r="H16" s="110">
        <v>8</v>
      </c>
      <c r="I16" s="110">
        <v>9</v>
      </c>
      <c r="J16" s="110">
        <v>10</v>
      </c>
      <c r="K16" s="110">
        <v>11</v>
      </c>
      <c r="L16" s="110">
        <v>12</v>
      </c>
    </row>
    <row r="17" spans="1:12" ht="63" x14ac:dyDescent="0.25">
      <c r="A17" s="337">
        <v>1</v>
      </c>
      <c r="B17" s="336" t="s">
        <v>39</v>
      </c>
      <c r="C17" s="336" t="s">
        <v>103</v>
      </c>
      <c r="D17" s="97" t="s">
        <v>104</v>
      </c>
      <c r="E17" s="98" t="s">
        <v>30</v>
      </c>
      <c r="F17" s="98" t="s">
        <v>30</v>
      </c>
      <c r="G17" s="98" t="s">
        <v>30</v>
      </c>
      <c r="H17" s="98" t="s">
        <v>30</v>
      </c>
      <c r="I17" s="99">
        <f>SUM(I19:I22)</f>
        <v>216336.07899999997</v>
      </c>
      <c r="J17" s="99">
        <f t="shared" ref="J17:K17" si="0">SUM(J19:J22)</f>
        <v>219596.17899999997</v>
      </c>
      <c r="K17" s="99">
        <f t="shared" si="0"/>
        <v>220734.86299999998</v>
      </c>
      <c r="L17" s="99">
        <f>SUM(I17:K17)</f>
        <v>656667.12099999993</v>
      </c>
    </row>
    <row r="18" spans="1:12" x14ac:dyDescent="0.25">
      <c r="A18" s="337"/>
      <c r="B18" s="336"/>
      <c r="C18" s="336"/>
      <c r="D18" s="97" t="s">
        <v>31</v>
      </c>
      <c r="E18" s="98"/>
      <c r="F18" s="98" t="s">
        <v>30</v>
      </c>
      <c r="G18" s="98" t="s">
        <v>30</v>
      </c>
      <c r="H18" s="98" t="s">
        <v>30</v>
      </c>
      <c r="I18" s="99"/>
      <c r="J18" s="99"/>
      <c r="K18" s="99"/>
      <c r="L18" s="99">
        <f t="shared" ref="L18:L37" si="1">SUM(I18:K18)</f>
        <v>0</v>
      </c>
    </row>
    <row r="19" spans="1:12" ht="31.5" x14ac:dyDescent="0.25">
      <c r="A19" s="337"/>
      <c r="B19" s="336"/>
      <c r="C19" s="336"/>
      <c r="D19" s="97" t="s">
        <v>65</v>
      </c>
      <c r="E19" s="98">
        <v>241</v>
      </c>
      <c r="F19" s="98" t="s">
        <v>30</v>
      </c>
      <c r="G19" s="98" t="s">
        <v>30</v>
      </c>
      <c r="H19" s="98" t="s">
        <v>30</v>
      </c>
      <c r="I19" s="99">
        <f>SUMIF($D$23:$D$39,$D19,I$23:I$39)</f>
        <v>155658.79399999999</v>
      </c>
      <c r="J19" s="99">
        <f t="shared" ref="J19:K19" si="2">SUMIF($D$23:$D$39,$D19,J$23:J$39)</f>
        <v>155658.79399999999</v>
      </c>
      <c r="K19" s="99">
        <f t="shared" si="2"/>
        <v>155658.79399999999</v>
      </c>
      <c r="L19" s="99">
        <f t="shared" si="1"/>
        <v>466976.38199999998</v>
      </c>
    </row>
    <row r="20" spans="1:12" ht="47.25" x14ac:dyDescent="0.25">
      <c r="A20" s="337"/>
      <c r="B20" s="336"/>
      <c r="C20" s="336"/>
      <c r="D20" s="97" t="s">
        <v>95</v>
      </c>
      <c r="E20" s="98">
        <v>242</v>
      </c>
      <c r="F20" s="98" t="s">
        <v>30</v>
      </c>
      <c r="G20" s="98" t="s">
        <v>30</v>
      </c>
      <c r="H20" s="98" t="s">
        <v>30</v>
      </c>
      <c r="I20" s="99">
        <f t="shared" ref="I20:K22" si="3">SUMIF($D$23:$D$39,$D20,I$23:I$39)</f>
        <v>1650.83</v>
      </c>
      <c r="J20" s="99">
        <f t="shared" si="3"/>
        <v>1650.83</v>
      </c>
      <c r="K20" s="99">
        <f t="shared" si="3"/>
        <v>1650.83</v>
      </c>
      <c r="L20" s="99">
        <f t="shared" si="1"/>
        <v>4952.49</v>
      </c>
    </row>
    <row r="21" spans="1:12" ht="63" x14ac:dyDescent="0.25">
      <c r="A21" s="337"/>
      <c r="B21" s="336"/>
      <c r="C21" s="336"/>
      <c r="D21" s="97" t="s">
        <v>66</v>
      </c>
      <c r="E21" s="98">
        <v>247</v>
      </c>
      <c r="F21" s="98" t="s">
        <v>30</v>
      </c>
      <c r="G21" s="98" t="s">
        <v>30</v>
      </c>
      <c r="H21" s="98" t="s">
        <v>30</v>
      </c>
      <c r="I21" s="99">
        <f t="shared" si="3"/>
        <v>59026.454999999994</v>
      </c>
      <c r="J21" s="99">
        <f t="shared" si="3"/>
        <v>62286.555</v>
      </c>
      <c r="K21" s="99">
        <f t="shared" si="3"/>
        <v>63425.238999999994</v>
      </c>
      <c r="L21" s="99">
        <f>SUM(I21:K21)</f>
        <v>184738.24899999998</v>
      </c>
    </row>
    <row r="22" spans="1:12" ht="47.25" x14ac:dyDescent="0.25">
      <c r="A22" s="337"/>
      <c r="B22" s="336"/>
      <c r="C22" s="336"/>
      <c r="D22" s="97" t="s">
        <v>218</v>
      </c>
      <c r="E22" s="98">
        <v>243</v>
      </c>
      <c r="F22" s="98" t="s">
        <v>30</v>
      </c>
      <c r="G22" s="98" t="s">
        <v>30</v>
      </c>
      <c r="H22" s="98" t="s">
        <v>30</v>
      </c>
      <c r="I22" s="99">
        <f t="shared" si="3"/>
        <v>0</v>
      </c>
      <c r="J22" s="99">
        <f t="shared" si="3"/>
        <v>0</v>
      </c>
      <c r="K22" s="99">
        <f t="shared" si="3"/>
        <v>0</v>
      </c>
      <c r="L22" s="99">
        <f>SUM(I22:K22)</f>
        <v>0</v>
      </c>
    </row>
    <row r="23" spans="1:12" ht="78.75" x14ac:dyDescent="0.25">
      <c r="A23" s="332" t="s">
        <v>3</v>
      </c>
      <c r="B23" s="333" t="s">
        <v>15</v>
      </c>
      <c r="C23" s="333" t="s">
        <v>119</v>
      </c>
      <c r="D23" s="109" t="s">
        <v>35</v>
      </c>
      <c r="E23" s="110"/>
      <c r="F23" s="110" t="s">
        <v>30</v>
      </c>
      <c r="G23" s="110" t="s">
        <v>30</v>
      </c>
      <c r="H23" s="110" t="s">
        <v>30</v>
      </c>
      <c r="I23" s="73">
        <f>I25+I26</f>
        <v>60677.284999999996</v>
      </c>
      <c r="J23" s="73">
        <f t="shared" ref="J23:K23" si="4">J25+J26</f>
        <v>63937.385000000002</v>
      </c>
      <c r="K23" s="73">
        <f t="shared" si="4"/>
        <v>65076.068999999996</v>
      </c>
      <c r="L23" s="73">
        <f t="shared" si="1"/>
        <v>189690.739</v>
      </c>
    </row>
    <row r="24" spans="1:12" x14ac:dyDescent="0.25">
      <c r="A24" s="332"/>
      <c r="B24" s="333"/>
      <c r="C24" s="333"/>
      <c r="D24" s="109" t="s">
        <v>31</v>
      </c>
      <c r="E24" s="110"/>
      <c r="F24" s="110" t="s">
        <v>30</v>
      </c>
      <c r="G24" s="110" t="s">
        <v>30</v>
      </c>
      <c r="H24" s="110" t="s">
        <v>30</v>
      </c>
      <c r="I24" s="73"/>
      <c r="J24" s="73"/>
      <c r="K24" s="73"/>
      <c r="L24" s="73">
        <f t="shared" si="1"/>
        <v>0</v>
      </c>
    </row>
    <row r="25" spans="1:12" ht="57" customHeight="1" x14ac:dyDescent="0.25">
      <c r="A25" s="332"/>
      <c r="B25" s="333"/>
      <c r="C25" s="333"/>
      <c r="D25" s="109" t="s">
        <v>95</v>
      </c>
      <c r="E25" s="110">
        <f>E20</f>
        <v>242</v>
      </c>
      <c r="F25" s="110" t="s">
        <v>30</v>
      </c>
      <c r="G25" s="110" t="s">
        <v>30</v>
      </c>
      <c r="H25" s="110" t="s">
        <v>30</v>
      </c>
      <c r="I25" s="73">
        <f>'пр к ПП1'!H19</f>
        <v>1650.83</v>
      </c>
      <c r="J25" s="73">
        <f>'пр к ПП1'!I19</f>
        <v>1650.83</v>
      </c>
      <c r="K25" s="73">
        <f>'пр к ПП1'!J19</f>
        <v>1650.83</v>
      </c>
      <c r="L25" s="73">
        <f t="shared" si="1"/>
        <v>4952.49</v>
      </c>
    </row>
    <row r="26" spans="1:12" ht="63" x14ac:dyDescent="0.25">
      <c r="A26" s="332"/>
      <c r="B26" s="333"/>
      <c r="C26" s="333"/>
      <c r="D26" s="109" t="s">
        <v>66</v>
      </c>
      <c r="E26" s="110">
        <f>E21</f>
        <v>247</v>
      </c>
      <c r="F26" s="110" t="s">
        <v>30</v>
      </c>
      <c r="G26" s="110" t="s">
        <v>30</v>
      </c>
      <c r="H26" s="110" t="s">
        <v>30</v>
      </c>
      <c r="I26" s="73">
        <f>'пр к ПП1'!H15+'пр к ПП1'!H17+'пр к ПП1'!H20+'пр к ПП1'!H22+'пр к ПП1'!H24+'пр к ПП1'!H25+'пр к ПП1'!H27</f>
        <v>59026.454999999994</v>
      </c>
      <c r="J26" s="73">
        <f>'пр к ПП1'!I15+'пр к ПП1'!I17+'пр к ПП1'!I20+'пр к ПП1'!I22+'пр к ПП1'!I24+'пр к ПП1'!I25+'пр к ПП1'!I27</f>
        <v>62286.555</v>
      </c>
      <c r="K26" s="73">
        <f>'пр к ПП1'!J15+'пр к ПП1'!J17+'пр к ПП1'!J20+'пр к ПП1'!J22+'пр к ПП1'!J24+'пр к ПП1'!J25+'пр к ПП1'!J27</f>
        <v>63425.238999999994</v>
      </c>
      <c r="L26" s="73">
        <f t="shared" si="1"/>
        <v>184738.24899999998</v>
      </c>
    </row>
    <row r="27" spans="1:12" ht="31.5" x14ac:dyDescent="0.25">
      <c r="A27" s="332" t="s">
        <v>84</v>
      </c>
      <c r="B27" s="333" t="s">
        <v>91</v>
      </c>
      <c r="C27" s="333" t="s">
        <v>98</v>
      </c>
      <c r="D27" s="109" t="s">
        <v>32</v>
      </c>
      <c r="E27" s="110"/>
      <c r="F27" s="110" t="s">
        <v>30</v>
      </c>
      <c r="G27" s="110" t="s">
        <v>30</v>
      </c>
      <c r="H27" s="110" t="s">
        <v>30</v>
      </c>
      <c r="I27" s="73">
        <f>I29+I30+I31</f>
        <v>145058.79399999999</v>
      </c>
      <c r="J27" s="73">
        <f t="shared" ref="J27:K27" si="5">J29+J30+J31</f>
        <v>145058.79399999999</v>
      </c>
      <c r="K27" s="73">
        <f t="shared" si="5"/>
        <v>145058.79399999999</v>
      </c>
      <c r="L27" s="73">
        <f t="shared" si="1"/>
        <v>435176.38199999998</v>
      </c>
    </row>
    <row r="28" spans="1:12" x14ac:dyDescent="0.25">
      <c r="A28" s="332"/>
      <c r="B28" s="333"/>
      <c r="C28" s="333"/>
      <c r="D28" s="109" t="s">
        <v>31</v>
      </c>
      <c r="E28" s="110"/>
      <c r="F28" s="110" t="s">
        <v>30</v>
      </c>
      <c r="G28" s="110" t="s">
        <v>30</v>
      </c>
      <c r="H28" s="110" t="s">
        <v>30</v>
      </c>
      <c r="I28" s="73"/>
      <c r="J28" s="73"/>
      <c r="K28" s="73"/>
      <c r="L28" s="73">
        <f t="shared" si="1"/>
        <v>0</v>
      </c>
    </row>
    <row r="29" spans="1:12" ht="31.5" x14ac:dyDescent="0.25">
      <c r="A29" s="332"/>
      <c r="B29" s="333"/>
      <c r="C29" s="333"/>
      <c r="D29" s="109" t="s">
        <v>65</v>
      </c>
      <c r="E29" s="110">
        <f>E19</f>
        <v>241</v>
      </c>
      <c r="F29" s="110" t="s">
        <v>30</v>
      </c>
      <c r="G29" s="110" t="s">
        <v>30</v>
      </c>
      <c r="H29" s="110" t="s">
        <v>30</v>
      </c>
      <c r="I29" s="73">
        <f>'пр к ПП2'!H16+'пр к ПП2'!H18+'пр к ПП2'!H21+'пр к ПП2'!H23+'пр к ПП2'!H26</f>
        <v>145058.79399999999</v>
      </c>
      <c r="J29" s="73">
        <f>'пр к ПП2'!I16+'пр к ПП2'!I18+'пр к ПП2'!I21+'пр к ПП2'!I23+'пр к ПП2'!I26</f>
        <v>145058.79399999999</v>
      </c>
      <c r="K29" s="73">
        <f>'пр к ПП2'!J16+'пр к ПП2'!J18+'пр к ПП2'!J21+'пр к ПП2'!J23+'пр к ПП2'!J26</f>
        <v>145058.79399999999</v>
      </c>
      <c r="L29" s="73">
        <f>SUM(I29:K29)</f>
        <v>435176.38199999998</v>
      </c>
    </row>
    <row r="30" spans="1:12" ht="47.25" x14ac:dyDescent="0.25">
      <c r="A30" s="332"/>
      <c r="B30" s="333"/>
      <c r="C30" s="333"/>
      <c r="D30" s="109" t="s">
        <v>95</v>
      </c>
      <c r="E30" s="112">
        <f>E20</f>
        <v>242</v>
      </c>
      <c r="F30" s="110" t="s">
        <v>30</v>
      </c>
      <c r="G30" s="110" t="s">
        <v>30</v>
      </c>
      <c r="H30" s="110" t="s">
        <v>30</v>
      </c>
      <c r="I30" s="73">
        <f>'пр к ПП2'!H20</f>
        <v>0</v>
      </c>
      <c r="J30" s="73">
        <f>'пр к ПП2'!I20</f>
        <v>0</v>
      </c>
      <c r="K30" s="73">
        <f>'пр к ПП2'!J20</f>
        <v>0</v>
      </c>
      <c r="L30" s="73">
        <f>SUM(I30:K30)</f>
        <v>0</v>
      </c>
    </row>
    <row r="31" spans="1:12" ht="63" x14ac:dyDescent="0.25">
      <c r="A31" s="332"/>
      <c r="B31" s="333"/>
      <c r="C31" s="333"/>
      <c r="D31" s="190" t="s">
        <v>66</v>
      </c>
      <c r="E31" s="189">
        <f>E26</f>
        <v>247</v>
      </c>
      <c r="F31" s="189" t="s">
        <v>30</v>
      </c>
      <c r="G31" s="189" t="s">
        <v>30</v>
      </c>
      <c r="H31" s="189" t="s">
        <v>30</v>
      </c>
      <c r="I31" s="73">
        <f>'пр к ПП2'!H22</f>
        <v>0</v>
      </c>
      <c r="J31" s="73">
        <f>'пр к ПП2'!I22</f>
        <v>0</v>
      </c>
      <c r="K31" s="73">
        <f>'пр к ПП2'!J22</f>
        <v>0</v>
      </c>
      <c r="L31" s="73">
        <f t="shared" ref="L31" si="6">SUM(I31:K31)</f>
        <v>0</v>
      </c>
    </row>
    <row r="32" spans="1:12" ht="31.5" customHeight="1" x14ac:dyDescent="0.25">
      <c r="A32" s="332" t="s">
        <v>86</v>
      </c>
      <c r="B32" s="333" t="s">
        <v>92</v>
      </c>
      <c r="C32" s="333" t="s">
        <v>99</v>
      </c>
      <c r="D32" s="109" t="s">
        <v>32</v>
      </c>
      <c r="E32" s="110"/>
      <c r="F32" s="110" t="s">
        <v>30</v>
      </c>
      <c r="G32" s="110" t="s">
        <v>30</v>
      </c>
      <c r="H32" s="110" t="s">
        <v>30</v>
      </c>
      <c r="I32" s="73">
        <f>'пр к ПП3'!H22</f>
        <v>0</v>
      </c>
      <c r="J32" s="73">
        <f t="shared" ref="J32:K32" si="7">J34+J35</f>
        <v>0</v>
      </c>
      <c r="K32" s="73">
        <f t="shared" si="7"/>
        <v>0</v>
      </c>
      <c r="L32" s="73">
        <f t="shared" si="1"/>
        <v>0</v>
      </c>
    </row>
    <row r="33" spans="1:12" x14ac:dyDescent="0.25">
      <c r="A33" s="332"/>
      <c r="B33" s="333"/>
      <c r="C33" s="333"/>
      <c r="D33" s="109" t="s">
        <v>31</v>
      </c>
      <c r="E33" s="110"/>
      <c r="F33" s="110" t="s">
        <v>30</v>
      </c>
      <c r="G33" s="110" t="s">
        <v>30</v>
      </c>
      <c r="H33" s="110" t="s">
        <v>30</v>
      </c>
      <c r="I33" s="73"/>
      <c r="J33" s="73"/>
      <c r="K33" s="73"/>
      <c r="L33" s="73">
        <f t="shared" si="1"/>
        <v>0</v>
      </c>
    </row>
    <row r="34" spans="1:12" ht="63" x14ac:dyDescent="0.25">
      <c r="A34" s="332"/>
      <c r="B34" s="333"/>
      <c r="C34" s="333"/>
      <c r="D34" s="109" t="s">
        <v>66</v>
      </c>
      <c r="E34" s="110">
        <f>E21</f>
        <v>247</v>
      </c>
      <c r="F34" s="110" t="s">
        <v>30</v>
      </c>
      <c r="G34" s="110" t="s">
        <v>30</v>
      </c>
      <c r="H34" s="110" t="s">
        <v>30</v>
      </c>
      <c r="I34" s="73">
        <f>'пр к ПП3'!H18</f>
        <v>0</v>
      </c>
      <c r="J34" s="73">
        <f>'пр к ПП3'!I18</f>
        <v>0</v>
      </c>
      <c r="K34" s="73">
        <f>'пр к ПП3'!J18</f>
        <v>0</v>
      </c>
      <c r="L34" s="73">
        <f>SUM(I34:K34)</f>
        <v>0</v>
      </c>
    </row>
    <row r="35" spans="1:12" ht="47.25" x14ac:dyDescent="0.25">
      <c r="A35" s="332"/>
      <c r="B35" s="333"/>
      <c r="C35" s="333"/>
      <c r="D35" s="109" t="s">
        <v>218</v>
      </c>
      <c r="E35" s="112">
        <f>E22</f>
        <v>243</v>
      </c>
      <c r="F35" s="110" t="s">
        <v>30</v>
      </c>
      <c r="G35" s="110" t="s">
        <v>30</v>
      </c>
      <c r="H35" s="110" t="s">
        <v>30</v>
      </c>
      <c r="I35" s="73">
        <f>'пр к ПП3'!H15+'пр к ПП3'!H16</f>
        <v>0</v>
      </c>
      <c r="J35" s="73">
        <f>'пр к ПП3'!I15+'пр к ПП3'!I16</f>
        <v>0</v>
      </c>
      <c r="K35" s="73">
        <f>'пр к ПП3'!J15+'пр к ПП3'!J16</f>
        <v>0</v>
      </c>
      <c r="L35" s="73">
        <f>SUM(I35:K35)</f>
        <v>0</v>
      </c>
    </row>
    <row r="36" spans="1:12" ht="31.5" customHeight="1" x14ac:dyDescent="0.25">
      <c r="A36" s="332" t="s">
        <v>87</v>
      </c>
      <c r="B36" s="333" t="s">
        <v>93</v>
      </c>
      <c r="C36" s="333" t="s">
        <v>163</v>
      </c>
      <c r="D36" s="109" t="s">
        <v>32</v>
      </c>
      <c r="E36" s="110"/>
      <c r="F36" s="110" t="s">
        <v>30</v>
      </c>
      <c r="G36" s="110" t="s">
        <v>30</v>
      </c>
      <c r="H36" s="110" t="s">
        <v>30</v>
      </c>
      <c r="I36" s="73">
        <f>I38+I39</f>
        <v>10600</v>
      </c>
      <c r="J36" s="73">
        <f t="shared" ref="J36:L36" si="8">J38+J39</f>
        <v>10600</v>
      </c>
      <c r="K36" s="73">
        <f t="shared" si="8"/>
        <v>10600</v>
      </c>
      <c r="L36" s="73">
        <f t="shared" si="8"/>
        <v>31800</v>
      </c>
    </row>
    <row r="37" spans="1:12" x14ac:dyDescent="0.25">
      <c r="A37" s="332"/>
      <c r="B37" s="333"/>
      <c r="C37" s="333"/>
      <c r="D37" s="109" t="s">
        <v>31</v>
      </c>
      <c r="E37" s="110"/>
      <c r="F37" s="110" t="s">
        <v>30</v>
      </c>
      <c r="G37" s="110" t="s">
        <v>30</v>
      </c>
      <c r="H37" s="110" t="s">
        <v>30</v>
      </c>
      <c r="I37" s="73"/>
      <c r="J37" s="73"/>
      <c r="K37" s="73"/>
      <c r="L37" s="73">
        <f t="shared" si="1"/>
        <v>0</v>
      </c>
    </row>
    <row r="38" spans="1:12" ht="31.5" x14ac:dyDescent="0.25">
      <c r="A38" s="332"/>
      <c r="B38" s="333"/>
      <c r="C38" s="333"/>
      <c r="D38" s="109" t="s">
        <v>65</v>
      </c>
      <c r="E38" s="110">
        <f>E29</f>
        <v>241</v>
      </c>
      <c r="F38" s="110" t="s">
        <v>30</v>
      </c>
      <c r="G38" s="110" t="s">
        <v>30</v>
      </c>
      <c r="H38" s="110" t="s">
        <v>30</v>
      </c>
      <c r="I38" s="73">
        <f>'пр к ПП4'!H15</f>
        <v>10600</v>
      </c>
      <c r="J38" s="73">
        <f>'пр к ПП4'!I15</f>
        <v>10600</v>
      </c>
      <c r="K38" s="73">
        <f>'пр к ПП4'!J15</f>
        <v>10600</v>
      </c>
      <c r="L38" s="73">
        <f>SUM(I38:K38)</f>
        <v>31800</v>
      </c>
    </row>
    <row r="39" spans="1:12" ht="47.25" x14ac:dyDescent="0.25">
      <c r="A39" s="332"/>
      <c r="B39" s="333"/>
      <c r="C39" s="333"/>
      <c r="D39" s="167" t="s">
        <v>95</v>
      </c>
      <c r="E39" s="166">
        <f>E30</f>
        <v>242</v>
      </c>
      <c r="F39" s="166" t="s">
        <v>30</v>
      </c>
      <c r="G39" s="166" t="s">
        <v>30</v>
      </c>
      <c r="H39" s="166" t="s">
        <v>30</v>
      </c>
      <c r="I39" s="73">
        <f>'пр к ПП4'!H19</f>
        <v>0</v>
      </c>
      <c r="J39" s="73">
        <f>'пр к ПП4'!I17+'пр к ПП4'!I18</f>
        <v>0</v>
      </c>
      <c r="K39" s="73">
        <f>'пр к ПП4'!J17+'пр к ПП4'!J18</f>
        <v>0</v>
      </c>
      <c r="L39" s="73">
        <f>SUM(I39:K39)</f>
        <v>0</v>
      </c>
    </row>
    <row r="47" spans="1:12" x14ac:dyDescent="0.25">
      <c r="B47" s="1" t="s">
        <v>231</v>
      </c>
    </row>
    <row r="48" spans="1:12" x14ac:dyDescent="0.25">
      <c r="B48" s="1" t="s">
        <v>232</v>
      </c>
      <c r="I48" s="1" t="b">
        <f>I23='пр к ПП1'!H31</f>
        <v>1</v>
      </c>
      <c r="J48" s="1" t="b">
        <f>J23='пр к ПП1'!I31</f>
        <v>1</v>
      </c>
      <c r="K48" s="1" t="b">
        <f>K23='пр к ПП1'!J31</f>
        <v>1</v>
      </c>
      <c r="L48" s="1" t="b">
        <f>L23='пр к ПП1'!K31</f>
        <v>1</v>
      </c>
    </row>
    <row r="49" spans="2:12" x14ac:dyDescent="0.25">
      <c r="B49" s="1" t="s">
        <v>233</v>
      </c>
      <c r="I49" s="1" t="b">
        <f>I27='пр к ПП2'!H27</f>
        <v>1</v>
      </c>
      <c r="J49" s="1" t="b">
        <f>J27='пр к ПП2'!I27</f>
        <v>1</v>
      </c>
      <c r="K49" s="1" t="b">
        <f>K27='пр к ПП2'!J27</f>
        <v>1</v>
      </c>
      <c r="L49" s="1" t="b">
        <f>L27='пр к ПП2'!K27</f>
        <v>1</v>
      </c>
    </row>
    <row r="50" spans="2:12" x14ac:dyDescent="0.25">
      <c r="B50" s="1" t="s">
        <v>234</v>
      </c>
      <c r="I50" s="1" t="b">
        <f>I32='пр к ПП3'!H22</f>
        <v>1</v>
      </c>
      <c r="J50" s="1" t="b">
        <f>J32='пр к ПП3'!I22</f>
        <v>1</v>
      </c>
      <c r="K50" s="1" t="b">
        <f>K32='пр к ПП3'!J22</f>
        <v>1</v>
      </c>
      <c r="L50" s="1" t="b">
        <f>L32='пр к ПП3'!K22</f>
        <v>1</v>
      </c>
    </row>
    <row r="51" spans="2:12" x14ac:dyDescent="0.25">
      <c r="B51" s="1" t="s">
        <v>235</v>
      </c>
      <c r="I51" s="1" t="b">
        <f>I36='пр к ПП4'!H20</f>
        <v>1</v>
      </c>
      <c r="J51" s="1" t="b">
        <f>J36='пр к ПП4'!I20</f>
        <v>1</v>
      </c>
      <c r="K51" s="1" t="b">
        <f>K36='пр к ПП4'!J20</f>
        <v>1</v>
      </c>
      <c r="L51" s="1" t="b">
        <f>L36='пр к ПП4'!K20</f>
        <v>1</v>
      </c>
    </row>
    <row r="54" spans="2:12" x14ac:dyDescent="0.25">
      <c r="B54" s="1" t="s">
        <v>232</v>
      </c>
      <c r="I54" s="125">
        <f>I23-'пр к ПП1'!H31</f>
        <v>0</v>
      </c>
      <c r="J54" s="125">
        <f>J23-'пр к ПП1'!I31</f>
        <v>0</v>
      </c>
      <c r="K54" s="125">
        <f>K23-'пр к ПП1'!J31</f>
        <v>0</v>
      </c>
      <c r="L54" s="125">
        <f>L23-'пр к ПП1'!K31</f>
        <v>0</v>
      </c>
    </row>
    <row r="55" spans="2:12" x14ac:dyDescent="0.25">
      <c r="B55" s="1" t="s">
        <v>233</v>
      </c>
      <c r="I55" s="125">
        <f>I27-'пр к ПП2'!H27</f>
        <v>0</v>
      </c>
      <c r="J55" s="125">
        <f>J27-'пр к ПП2'!I27</f>
        <v>0</v>
      </c>
      <c r="K55" s="125">
        <f>K27-'пр к ПП2'!J27</f>
        <v>0</v>
      </c>
      <c r="L55" s="125">
        <f>L27-'пр к ПП2'!K27</f>
        <v>0</v>
      </c>
    </row>
    <row r="56" spans="2:12" x14ac:dyDescent="0.25">
      <c r="B56" s="1" t="s">
        <v>234</v>
      </c>
      <c r="I56" s="125">
        <f>I32-'пр к ПП3'!H22</f>
        <v>0</v>
      </c>
      <c r="J56" s="125">
        <f>J32-'пр к ПП3'!I22</f>
        <v>0</v>
      </c>
      <c r="K56" s="125">
        <f>K32-'пр к ПП3'!J22</f>
        <v>0</v>
      </c>
      <c r="L56" s="125">
        <f>L32-'пр к ПП3'!K22</f>
        <v>0</v>
      </c>
    </row>
    <row r="57" spans="2:12" x14ac:dyDescent="0.25">
      <c r="B57" s="1" t="s">
        <v>235</v>
      </c>
      <c r="I57" s="125">
        <f>I36-'пр к ПП4'!H20</f>
        <v>0</v>
      </c>
      <c r="J57" s="125">
        <f>J36-'пр к ПП4'!I20</f>
        <v>0</v>
      </c>
      <c r="K57" s="125">
        <f>K36-'пр к ПП4'!J20</f>
        <v>0</v>
      </c>
      <c r="L57" s="125">
        <f>L36-'пр к ПП4'!K20</f>
        <v>0</v>
      </c>
    </row>
  </sheetData>
  <mergeCells count="27">
    <mergeCell ref="A8:L8"/>
    <mergeCell ref="A32:A35"/>
    <mergeCell ref="B32:B35"/>
    <mergeCell ref="C32:C35"/>
    <mergeCell ref="A17:A22"/>
    <mergeCell ref="A9:L9"/>
    <mergeCell ref="A10:L10"/>
    <mergeCell ref="A11:L11"/>
    <mergeCell ref="A27:A31"/>
    <mergeCell ref="B27:B31"/>
    <mergeCell ref="C27:C31"/>
    <mergeCell ref="J1:L1"/>
    <mergeCell ref="A36:A39"/>
    <mergeCell ref="B36:B39"/>
    <mergeCell ref="C36:C39"/>
    <mergeCell ref="J5:L5"/>
    <mergeCell ref="L14:L15"/>
    <mergeCell ref="A14:A15"/>
    <mergeCell ref="B14:B15"/>
    <mergeCell ref="C14:C15"/>
    <mergeCell ref="D14:D15"/>
    <mergeCell ref="E14:H14"/>
    <mergeCell ref="B17:B22"/>
    <mergeCell ref="C17:C22"/>
    <mergeCell ref="A23:A26"/>
    <mergeCell ref="B23:B26"/>
    <mergeCell ref="C23:C26"/>
  </mergeCells>
  <pageMargins left="0.78740157480314965" right="0.78740157480314965" top="1.1811023622047245" bottom="0.17" header="0.31496062992125984" footer="0.31496062992125984"/>
  <pageSetup paperSize="9" scale="72" fitToHeight="0" orientation="landscape" r:id="rId1"/>
  <rowBreaks count="2" manualBreakCount="2">
    <brk id="22" max="11" man="1"/>
    <brk id="35" max="11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S71"/>
  <sheetViews>
    <sheetView view="pageBreakPreview" topLeftCell="A13" zoomScale="70" zoomScaleNormal="70" zoomScaleSheetLayoutView="70" workbookViewId="0">
      <selection activeCell="A13" sqref="A13:N13"/>
    </sheetView>
  </sheetViews>
  <sheetFormatPr defaultRowHeight="18.75" outlineLevelRow="1" outlineLevelCol="1" x14ac:dyDescent="0.3"/>
  <cols>
    <col min="1" max="1" width="5.375" style="19" customWidth="1"/>
    <col min="2" max="2" width="24.375" style="6" customWidth="1"/>
    <col min="3" max="3" width="25" style="6" customWidth="1"/>
    <col min="4" max="4" width="27.5" style="6" customWidth="1"/>
    <col min="5" max="5" width="17.25" style="42" hidden="1" customWidth="1" outlineLevel="1"/>
    <col min="6" max="8" width="14.25" style="42" hidden="1" customWidth="1" outlineLevel="1"/>
    <col min="9" max="10" width="14.625" style="42" hidden="1" customWidth="1" outlineLevel="1"/>
    <col min="11" max="11" width="16.125" style="6" customWidth="1" collapsed="1"/>
    <col min="12" max="13" width="15.625" style="6" customWidth="1"/>
    <col min="14" max="14" width="18.125" style="6" bestFit="1" customWidth="1"/>
    <col min="15" max="15" width="14.875" style="6" hidden="1" customWidth="1" outlineLevel="1"/>
    <col min="16" max="16" width="17.875" style="79" hidden="1" customWidth="1" outlineLevel="1"/>
    <col min="17" max="17" width="10.75" style="6" hidden="1" customWidth="1" outlineLevel="1"/>
    <col min="18" max="18" width="9" style="6" collapsed="1"/>
    <col min="19" max="19" width="16.875" style="6" customWidth="1"/>
    <col min="20" max="16384" width="9" style="6"/>
  </cols>
  <sheetData>
    <row r="1" spans="1:14" ht="82.5" hidden="1" customHeight="1" outlineLevel="1" x14ac:dyDescent="0.3">
      <c r="K1" s="296" t="s">
        <v>258</v>
      </c>
      <c r="L1" s="296"/>
      <c r="M1" s="296"/>
      <c r="N1" s="296"/>
    </row>
    <row r="2" spans="1:14" hidden="1" outlineLevel="1" x14ac:dyDescent="0.3"/>
    <row r="3" spans="1:14" hidden="1" outlineLevel="1" x14ac:dyDescent="0.3"/>
    <row r="4" spans="1:14" collapsed="1" x14ac:dyDescent="0.3">
      <c r="K4" s="12" t="s">
        <v>166</v>
      </c>
    </row>
    <row r="5" spans="1:14" ht="61.5" customHeight="1" x14ac:dyDescent="0.3">
      <c r="K5" s="275" t="str">
        <f>CONCATENATE("к муниципальной программе Туруханского района """,'пр 6 к МП'!C17,"""")</f>
        <v>к муниципальной программе Туруханского района "Развитие транспортной системы и связи Туруханского района"</v>
      </c>
      <c r="L5" s="275"/>
      <c r="M5" s="275"/>
      <c r="N5" s="275"/>
    </row>
    <row r="6" spans="1:14" x14ac:dyDescent="0.3">
      <c r="A6" s="13"/>
    </row>
    <row r="7" spans="1:14" x14ac:dyDescent="0.3">
      <c r="A7" s="13"/>
    </row>
    <row r="8" spans="1:14" x14ac:dyDescent="0.3">
      <c r="A8" s="278" t="s">
        <v>0</v>
      </c>
      <c r="B8" s="278"/>
      <c r="C8" s="278"/>
      <c r="D8" s="278"/>
      <c r="E8" s="278"/>
      <c r="F8" s="278"/>
      <c r="G8" s="278"/>
      <c r="H8" s="278"/>
      <c r="I8" s="278"/>
      <c r="J8" s="278"/>
      <c r="K8" s="278"/>
      <c r="L8" s="278"/>
      <c r="M8" s="278"/>
      <c r="N8" s="278"/>
    </row>
    <row r="9" spans="1:14" x14ac:dyDescent="0.3">
      <c r="A9" s="278" t="s">
        <v>41</v>
      </c>
      <c r="B9" s="278"/>
      <c r="C9" s="278"/>
      <c r="D9" s="278"/>
      <c r="E9" s="278"/>
      <c r="F9" s="278"/>
      <c r="G9" s="278"/>
      <c r="H9" s="278"/>
      <c r="I9" s="278"/>
      <c r="J9" s="278"/>
      <c r="K9" s="278"/>
      <c r="L9" s="278"/>
      <c r="M9" s="278"/>
      <c r="N9" s="278"/>
    </row>
    <row r="10" spans="1:14" x14ac:dyDescent="0.3">
      <c r="A10" s="278" t="s">
        <v>42</v>
      </c>
      <c r="B10" s="278"/>
      <c r="C10" s="278"/>
      <c r="D10" s="278"/>
      <c r="E10" s="278"/>
      <c r="F10" s="278"/>
      <c r="G10" s="278"/>
      <c r="H10" s="278"/>
      <c r="I10" s="278"/>
      <c r="J10" s="278"/>
      <c r="K10" s="278"/>
      <c r="L10" s="278"/>
      <c r="M10" s="278"/>
      <c r="N10" s="278"/>
    </row>
    <row r="11" spans="1:14" x14ac:dyDescent="0.3">
      <c r="A11" s="278" t="s">
        <v>43</v>
      </c>
      <c r="B11" s="278"/>
      <c r="C11" s="278"/>
      <c r="D11" s="278"/>
      <c r="E11" s="278"/>
      <c r="F11" s="278"/>
      <c r="G11" s="278"/>
      <c r="H11" s="278"/>
      <c r="I11" s="278"/>
      <c r="J11" s="278"/>
      <c r="K11" s="278"/>
      <c r="L11" s="278"/>
      <c r="M11" s="278"/>
      <c r="N11" s="278"/>
    </row>
    <row r="12" spans="1:14" x14ac:dyDescent="0.3">
      <c r="A12" s="278" t="s">
        <v>44</v>
      </c>
      <c r="B12" s="278"/>
      <c r="C12" s="278"/>
      <c r="D12" s="278"/>
      <c r="E12" s="278"/>
      <c r="F12" s="278"/>
      <c r="G12" s="278"/>
      <c r="H12" s="278"/>
      <c r="I12" s="278"/>
      <c r="J12" s="278"/>
      <c r="K12" s="278"/>
      <c r="L12" s="278"/>
      <c r="M12" s="278"/>
      <c r="N12" s="278"/>
    </row>
    <row r="13" spans="1:14" x14ac:dyDescent="0.3">
      <c r="A13" s="278" t="s">
        <v>45</v>
      </c>
      <c r="B13" s="278"/>
      <c r="C13" s="278"/>
      <c r="D13" s="278"/>
      <c r="E13" s="278"/>
      <c r="F13" s="278"/>
      <c r="G13" s="278"/>
      <c r="H13" s="278"/>
      <c r="I13" s="278"/>
      <c r="J13" s="278"/>
      <c r="K13" s="278"/>
      <c r="L13" s="278"/>
      <c r="M13" s="278"/>
      <c r="N13" s="278"/>
    </row>
    <row r="14" spans="1:14" x14ac:dyDescent="0.3">
      <c r="A14" s="13"/>
    </row>
    <row r="15" spans="1:14" x14ac:dyDescent="0.3">
      <c r="N15" s="5" t="s">
        <v>212</v>
      </c>
    </row>
    <row r="16" spans="1:14" ht="27.75" customHeight="1" x14ac:dyDescent="0.3">
      <c r="A16" s="279" t="s">
        <v>19</v>
      </c>
      <c r="B16" s="334" t="s">
        <v>33</v>
      </c>
      <c r="C16" s="334" t="s">
        <v>34</v>
      </c>
      <c r="D16" s="279" t="s">
        <v>38</v>
      </c>
      <c r="E16" s="37">
        <v>2014</v>
      </c>
      <c r="F16" s="37">
        <v>2015</v>
      </c>
      <c r="G16" s="37">
        <v>2016</v>
      </c>
      <c r="H16" s="37">
        <v>2017</v>
      </c>
      <c r="I16" s="37" t="s">
        <v>54</v>
      </c>
      <c r="J16" s="37" t="s">
        <v>55</v>
      </c>
      <c r="K16" s="145">
        <v>2020</v>
      </c>
      <c r="L16" s="145">
        <v>2021</v>
      </c>
      <c r="M16" s="197">
        <v>2022</v>
      </c>
      <c r="N16" s="334" t="s">
        <v>24</v>
      </c>
    </row>
    <row r="17" spans="1:19" x14ac:dyDescent="0.3">
      <c r="A17" s="279"/>
      <c r="B17" s="334"/>
      <c r="C17" s="334"/>
      <c r="D17" s="279"/>
      <c r="E17" s="37"/>
      <c r="F17" s="37"/>
      <c r="G17" s="37"/>
      <c r="H17" s="37"/>
      <c r="I17" s="37"/>
      <c r="J17" s="37" t="s">
        <v>29</v>
      </c>
      <c r="K17" s="94" t="s">
        <v>29</v>
      </c>
      <c r="L17" s="94" t="s">
        <v>29</v>
      </c>
      <c r="M17" s="197" t="s">
        <v>29</v>
      </c>
      <c r="N17" s="334"/>
    </row>
    <row r="18" spans="1:19" x14ac:dyDescent="0.3">
      <c r="A18" s="139">
        <v>1</v>
      </c>
      <c r="B18" s="139">
        <v>2</v>
      </c>
      <c r="C18" s="139">
        <v>3</v>
      </c>
      <c r="D18" s="139">
        <v>4</v>
      </c>
      <c r="E18" s="37"/>
      <c r="F18" s="37"/>
      <c r="G18" s="37"/>
      <c r="H18" s="37"/>
      <c r="I18" s="37">
        <v>5</v>
      </c>
      <c r="J18" s="37">
        <v>6</v>
      </c>
      <c r="K18" s="139">
        <v>6</v>
      </c>
      <c r="L18" s="139">
        <v>7</v>
      </c>
      <c r="M18" s="197">
        <v>7</v>
      </c>
      <c r="N18" s="139">
        <v>8</v>
      </c>
    </row>
    <row r="19" spans="1:19" x14ac:dyDescent="0.3">
      <c r="A19" s="332">
        <v>1</v>
      </c>
      <c r="B19" s="338" t="s">
        <v>39</v>
      </c>
      <c r="C19" s="338" t="str">
        <f>'пр 6 к МП'!C17</f>
        <v>Развитие транспортной системы и связи Туруханского района</v>
      </c>
      <c r="D19" s="151" t="s">
        <v>37</v>
      </c>
      <c r="E19" s="80">
        <f t="shared" ref="E19:F19" si="0">E26+E33+E40+E47</f>
        <v>165376.84903000001</v>
      </c>
      <c r="F19" s="80">
        <f t="shared" si="0"/>
        <v>132504.82329</v>
      </c>
      <c r="G19" s="80">
        <f>G26+G33+G40+G47</f>
        <v>168993.47096999999</v>
      </c>
      <c r="H19" s="80">
        <f>H26+H33+H40+H47</f>
        <v>155455.69513999997</v>
      </c>
      <c r="I19" s="80">
        <f>I26+I33+I40+I47</f>
        <v>165993.04453999997</v>
      </c>
      <c r="J19" s="80">
        <f t="shared" ref="J19:K19" si="1">J26+J33+J40+J47</f>
        <v>224799.75399999999</v>
      </c>
      <c r="K19" s="81">
        <f t="shared" si="1"/>
        <v>216336.079</v>
      </c>
      <c r="L19" s="81">
        <f t="shared" ref="L19:M19" si="2">L26+L33+L40+L47</f>
        <v>219596.179</v>
      </c>
      <c r="M19" s="81">
        <f t="shared" si="2"/>
        <v>220734.86299999998</v>
      </c>
      <c r="N19" s="81">
        <f>SUM(K19:M19)</f>
        <v>656667.12100000004</v>
      </c>
      <c r="O19" s="82">
        <f>N19-'пр 6 к МП'!L17</f>
        <v>0</v>
      </c>
      <c r="P19" s="83">
        <f>SUM(E19:M19)</f>
        <v>1669790.7579699997</v>
      </c>
      <c r="Q19" s="6" t="b">
        <f>SUM(P21:P25)=P19</f>
        <v>1</v>
      </c>
      <c r="S19" s="228"/>
    </row>
    <row r="20" spans="1:19" x14ac:dyDescent="0.3">
      <c r="A20" s="332"/>
      <c r="B20" s="338"/>
      <c r="C20" s="338"/>
      <c r="D20" s="140" t="s">
        <v>20</v>
      </c>
      <c r="E20" s="84"/>
      <c r="F20" s="84"/>
      <c r="G20" s="84"/>
      <c r="H20" s="84"/>
      <c r="I20" s="84"/>
      <c r="J20" s="84"/>
      <c r="K20" s="85"/>
      <c r="L20" s="85"/>
      <c r="M20" s="85"/>
      <c r="N20" s="85"/>
      <c r="O20" s="82"/>
      <c r="P20" s="83"/>
      <c r="S20" s="229"/>
    </row>
    <row r="21" spans="1:19" x14ac:dyDescent="0.3">
      <c r="A21" s="332"/>
      <c r="B21" s="338"/>
      <c r="C21" s="338"/>
      <c r="D21" s="7" t="s">
        <v>100</v>
      </c>
      <c r="E21" s="84">
        <f t="shared" ref="E21:I21" si="3">E28+E35+E42+E49</f>
        <v>0</v>
      </c>
      <c r="F21" s="84">
        <f t="shared" si="3"/>
        <v>0</v>
      </c>
      <c r="G21" s="84">
        <f t="shared" si="3"/>
        <v>0</v>
      </c>
      <c r="H21" s="84">
        <f t="shared" ref="H21" si="4">H28+H35+H42+H49</f>
        <v>0</v>
      </c>
      <c r="I21" s="84">
        <f t="shared" si="3"/>
        <v>0</v>
      </c>
      <c r="J21" s="84">
        <f t="shared" ref="J21:K21" si="5">J28+J35+J42+J49</f>
        <v>0</v>
      </c>
      <c r="K21" s="85">
        <f t="shared" si="5"/>
        <v>0</v>
      </c>
      <c r="L21" s="85">
        <f t="shared" ref="L21:M21" si="6">L28+L35+L42+L49</f>
        <v>0</v>
      </c>
      <c r="M21" s="85">
        <f t="shared" si="6"/>
        <v>0</v>
      </c>
      <c r="N21" s="85">
        <f t="shared" ref="N21:N26" si="7">SUM(K21:M21)</f>
        <v>0</v>
      </c>
      <c r="O21" s="82"/>
      <c r="P21" s="83">
        <f t="shared" ref="P21:P53" si="8">SUM(E21:M21)</f>
        <v>0</v>
      </c>
    </row>
    <row r="22" spans="1:19" x14ac:dyDescent="0.3">
      <c r="A22" s="332"/>
      <c r="B22" s="338"/>
      <c r="C22" s="338"/>
      <c r="D22" s="140" t="s">
        <v>101</v>
      </c>
      <c r="E22" s="84">
        <f>E29+E36+E43+E50</f>
        <v>33226.424510000004</v>
      </c>
      <c r="F22" s="84">
        <f t="shared" ref="F22:G22" si="9">F29+F36+F43+F50</f>
        <v>33544.400000000001</v>
      </c>
      <c r="G22" s="84">
        <f t="shared" si="9"/>
        <v>55791.640999999996</v>
      </c>
      <c r="H22" s="84">
        <f t="shared" ref="H22" si="10">H29+H36+H43+H50</f>
        <v>50192.994449999998</v>
      </c>
      <c r="I22" s="84">
        <f>I29+I36+I43+I50</f>
        <v>43661.469730000004</v>
      </c>
      <c r="J22" s="84">
        <f>J29+J36+J43+J50</f>
        <v>60781.301000000007</v>
      </c>
      <c r="K22" s="85">
        <f t="shared" ref="K22" si="11">K29+K36+K43+K50</f>
        <v>40337.699999999997</v>
      </c>
      <c r="L22" s="85">
        <f t="shared" ref="L22:M22" si="12">L29+L36+L43+L50</f>
        <v>43597.8</v>
      </c>
      <c r="M22" s="85">
        <f t="shared" si="12"/>
        <v>44736.483999999997</v>
      </c>
      <c r="N22" s="85">
        <f t="shared" si="7"/>
        <v>128671.984</v>
      </c>
      <c r="O22" s="82"/>
      <c r="P22" s="83">
        <f t="shared" si="8"/>
        <v>405870.21468999999</v>
      </c>
    </row>
    <row r="23" spans="1:19" x14ac:dyDescent="0.3">
      <c r="A23" s="332"/>
      <c r="B23" s="338"/>
      <c r="C23" s="338"/>
      <c r="D23" s="140" t="s">
        <v>40</v>
      </c>
      <c r="E23" s="84">
        <f>E30+E37+E44+E51</f>
        <v>132150.42452</v>
      </c>
      <c r="F23" s="84">
        <f t="shared" ref="F23:G23" si="13">F30+F37+F44+F51</f>
        <v>98960.423290000006</v>
      </c>
      <c r="G23" s="84">
        <f t="shared" si="13"/>
        <v>113001.82996999999</v>
      </c>
      <c r="H23" s="84">
        <f t="shared" ref="H23" si="14">H30+H37+H44+H51</f>
        <v>105262.70068999998</v>
      </c>
      <c r="I23" s="84">
        <f>I30+I37+I44+I51</f>
        <v>122331.57480999999</v>
      </c>
      <c r="J23" s="84">
        <f t="shared" ref="J23:K23" si="15">J30+J37+J44+J51</f>
        <v>164018.45299999998</v>
      </c>
      <c r="K23" s="85">
        <f t="shared" si="15"/>
        <v>175998.37899999999</v>
      </c>
      <c r="L23" s="85">
        <f t="shared" ref="L23:M23" si="16">L30+L37+L44+L51</f>
        <v>175998.37899999999</v>
      </c>
      <c r="M23" s="85">
        <f t="shared" si="16"/>
        <v>175998.37899999999</v>
      </c>
      <c r="N23" s="85">
        <f t="shared" si="7"/>
        <v>527995.13699999999</v>
      </c>
      <c r="O23" s="82"/>
      <c r="P23" s="83">
        <f t="shared" si="8"/>
        <v>1263720.5432799999</v>
      </c>
    </row>
    <row r="24" spans="1:19" ht="48" x14ac:dyDescent="0.3">
      <c r="A24" s="332"/>
      <c r="B24" s="338"/>
      <c r="C24" s="338"/>
      <c r="D24" s="8" t="s">
        <v>102</v>
      </c>
      <c r="E24" s="84">
        <f t="shared" ref="E24:G24" si="17">E31+E38+E45+E52</f>
        <v>0</v>
      </c>
      <c r="F24" s="84">
        <f t="shared" si="17"/>
        <v>0</v>
      </c>
      <c r="G24" s="84">
        <f t="shared" si="17"/>
        <v>0</v>
      </c>
      <c r="H24" s="84">
        <f t="shared" ref="H24" si="18">H31+H38+H45+H52</f>
        <v>0</v>
      </c>
      <c r="I24" s="84">
        <f t="shared" ref="I24:K24" si="19">I31+I38+I45+I52</f>
        <v>0</v>
      </c>
      <c r="J24" s="84">
        <f t="shared" ref="J24" si="20">J31+J38+J45+J52</f>
        <v>0</v>
      </c>
      <c r="K24" s="85">
        <f t="shared" si="19"/>
        <v>0</v>
      </c>
      <c r="L24" s="85">
        <f t="shared" ref="L24:M24" si="21">L31+L38+L45+L52</f>
        <v>0</v>
      </c>
      <c r="M24" s="85">
        <f t="shared" si="21"/>
        <v>0</v>
      </c>
      <c r="N24" s="85">
        <f t="shared" si="7"/>
        <v>0</v>
      </c>
      <c r="O24" s="82"/>
      <c r="P24" s="83">
        <f t="shared" si="8"/>
        <v>0</v>
      </c>
    </row>
    <row r="25" spans="1:19" ht="19.5" thickBot="1" x14ac:dyDescent="0.35">
      <c r="A25" s="332"/>
      <c r="B25" s="338"/>
      <c r="C25" s="338"/>
      <c r="D25" s="140" t="s">
        <v>21</v>
      </c>
      <c r="E25" s="84">
        <f t="shared" ref="E25:G25" si="22">E32+E39+E46+E53</f>
        <v>0</v>
      </c>
      <c r="F25" s="84">
        <f t="shared" si="22"/>
        <v>0</v>
      </c>
      <c r="G25" s="84">
        <f t="shared" si="22"/>
        <v>200</v>
      </c>
      <c r="H25" s="84">
        <f t="shared" ref="H25" si="23">H32+H39+H46+H53</f>
        <v>0</v>
      </c>
      <c r="I25" s="84">
        <f t="shared" ref="I25:K25" si="24">I32+I39+I46+I53</f>
        <v>0</v>
      </c>
      <c r="J25" s="84">
        <f t="shared" ref="J25" si="25">J32+J39+J46+J53</f>
        <v>0</v>
      </c>
      <c r="K25" s="85">
        <f t="shared" si="24"/>
        <v>0</v>
      </c>
      <c r="L25" s="85">
        <f t="shared" ref="L25:M25" si="26">L32+L39+L46+L53</f>
        <v>0</v>
      </c>
      <c r="M25" s="85">
        <f t="shared" si="26"/>
        <v>0</v>
      </c>
      <c r="N25" s="85">
        <f t="shared" si="7"/>
        <v>0</v>
      </c>
      <c r="O25" s="82"/>
      <c r="P25" s="83">
        <f t="shared" si="8"/>
        <v>200</v>
      </c>
    </row>
    <row r="26" spans="1:19" s="131" customFormat="1" x14ac:dyDescent="0.3">
      <c r="A26" s="332" t="s">
        <v>3</v>
      </c>
      <c r="B26" s="338" t="s">
        <v>15</v>
      </c>
      <c r="C26" s="338" t="str">
        <f>'пр 6 к МП'!C23</f>
        <v>Развитие транспортного комплекса, обеспечение сохранности и модернизации автомобильных дорог Туруханского района</v>
      </c>
      <c r="D26" s="151" t="s">
        <v>37</v>
      </c>
      <c r="E26" s="80">
        <f>SUM(E28:E32)</f>
        <v>38654.857510000002</v>
      </c>
      <c r="F26" s="80">
        <f t="shared" ref="F26:H26" si="27">SUM(F28:F32)</f>
        <v>38642.90999</v>
      </c>
      <c r="G26" s="80">
        <f t="shared" si="27"/>
        <v>64679.243999999999</v>
      </c>
      <c r="H26" s="80">
        <f t="shared" si="27"/>
        <v>51991.447849999997</v>
      </c>
      <c r="I26" s="80">
        <f>SUM(I28:I32)</f>
        <v>46554.788160000011</v>
      </c>
      <c r="J26" s="80">
        <f t="shared" ref="J26:K26" si="28">SUM(J28:J32)</f>
        <v>80855.478000000003</v>
      </c>
      <c r="K26" s="81">
        <f t="shared" si="28"/>
        <v>60677.284999999996</v>
      </c>
      <c r="L26" s="81">
        <f t="shared" ref="L26:M26" si="29">SUM(L28:L32)</f>
        <v>63937.385000000002</v>
      </c>
      <c r="M26" s="81">
        <f t="shared" si="29"/>
        <v>65076.068999999996</v>
      </c>
      <c r="N26" s="81">
        <f t="shared" si="7"/>
        <v>189690.739</v>
      </c>
      <c r="O26" s="129">
        <f>N26-'пр 6 к МП'!L23</f>
        <v>0</v>
      </c>
      <c r="P26" s="130">
        <f t="shared" si="8"/>
        <v>511069.46451000002</v>
      </c>
      <c r="Q26" s="131" t="b">
        <f>SUM(P28:P32)=P26</f>
        <v>1</v>
      </c>
    </row>
    <row r="27" spans="1:19" s="134" customFormat="1" x14ac:dyDescent="0.3">
      <c r="A27" s="332"/>
      <c r="B27" s="338"/>
      <c r="C27" s="338"/>
      <c r="D27" s="140" t="s">
        <v>20</v>
      </c>
      <c r="E27" s="86"/>
      <c r="F27" s="86"/>
      <c r="G27" s="86"/>
      <c r="H27" s="86"/>
      <c r="I27" s="84"/>
      <c r="J27" s="84"/>
      <c r="K27" s="85"/>
      <c r="L27" s="85"/>
      <c r="M27" s="85"/>
      <c r="N27" s="85"/>
      <c r="O27" s="132"/>
      <c r="P27" s="133">
        <f t="shared" si="8"/>
        <v>0</v>
      </c>
    </row>
    <row r="28" spans="1:19" s="134" customFormat="1" x14ac:dyDescent="0.3">
      <c r="A28" s="332"/>
      <c r="B28" s="338"/>
      <c r="C28" s="338"/>
      <c r="D28" s="7" t="s">
        <v>100</v>
      </c>
      <c r="E28" s="86"/>
      <c r="F28" s="86"/>
      <c r="G28" s="86"/>
      <c r="H28" s="86"/>
      <c r="I28" s="84"/>
      <c r="J28" s="84"/>
      <c r="K28" s="85"/>
      <c r="L28" s="85"/>
      <c r="M28" s="85"/>
      <c r="N28" s="85">
        <f t="shared" ref="N28:N33" si="30">SUM(K28:M28)</f>
        <v>0</v>
      </c>
      <c r="O28" s="132"/>
      <c r="P28" s="133">
        <f t="shared" si="8"/>
        <v>0</v>
      </c>
    </row>
    <row r="29" spans="1:19" s="134" customFormat="1" x14ac:dyDescent="0.3">
      <c r="A29" s="332"/>
      <c r="B29" s="338"/>
      <c r="C29" s="338"/>
      <c r="D29" s="140" t="s">
        <v>101</v>
      </c>
      <c r="E29" s="86">
        <v>33203.024510000003</v>
      </c>
      <c r="F29" s="86">
        <v>33544.400000000001</v>
      </c>
      <c r="G29" s="86">
        <v>55649.004999999997</v>
      </c>
      <c r="H29" s="86">
        <v>47780.994449999998</v>
      </c>
      <c r="I29" s="84">
        <v>40519.269730000007</v>
      </c>
      <c r="J29" s="84">
        <v>57906.3</v>
      </c>
      <c r="K29" s="85">
        <f>'пр к ПП1'!H15+'пр к ПП1'!H17+'пр к ПП1'!H24</f>
        <v>40337.699999999997</v>
      </c>
      <c r="L29" s="85">
        <f>'пр к ПП1'!I15+'пр к ПП1'!I17+'пр к ПП1'!I24</f>
        <v>43597.8</v>
      </c>
      <c r="M29" s="85">
        <f>'пр к ПП1'!J15+'пр к ПП1'!J17+'пр к ПП1'!J24</f>
        <v>44736.483999999997</v>
      </c>
      <c r="N29" s="85">
        <f t="shared" si="30"/>
        <v>128671.984</v>
      </c>
      <c r="O29" s="132"/>
      <c r="P29" s="133">
        <f t="shared" si="8"/>
        <v>397274.97769000003</v>
      </c>
    </row>
    <row r="30" spans="1:19" s="134" customFormat="1" x14ac:dyDescent="0.3">
      <c r="A30" s="332"/>
      <c r="B30" s="338"/>
      <c r="C30" s="338"/>
      <c r="D30" s="140" t="s">
        <v>40</v>
      </c>
      <c r="E30" s="86">
        <v>5451.8330000000005</v>
      </c>
      <c r="F30" s="86">
        <v>5098.5099900000005</v>
      </c>
      <c r="G30" s="86">
        <v>8830.2389999999996</v>
      </c>
      <c r="H30" s="86">
        <v>4210.4534000000003</v>
      </c>
      <c r="I30" s="84">
        <v>6035.5184300000001</v>
      </c>
      <c r="J30" s="84">
        <v>22949.178</v>
      </c>
      <c r="K30" s="85">
        <f>'пр к ПП1'!H20+'пр к ПП1'!H19+'пр к ПП1'!H22+'пр к ПП1'!H25+'пр к ПП1'!H27</f>
        <v>20339.584999999999</v>
      </c>
      <c r="L30" s="85">
        <f>'пр к ПП1'!I20+'пр к ПП1'!I19+'пр к ПП1'!I22+'пр к ПП1'!I25+'пр к ПП1'!I27</f>
        <v>20339.584999999999</v>
      </c>
      <c r="M30" s="85">
        <f>'пр к ПП1'!J20+'пр к ПП1'!J19+'пр к ПП1'!J22+'пр к ПП1'!J25+'пр к ПП1'!J27</f>
        <v>20339.584999999999</v>
      </c>
      <c r="N30" s="85">
        <f t="shared" si="30"/>
        <v>61018.754999999997</v>
      </c>
      <c r="O30" s="132"/>
      <c r="P30" s="133">
        <f t="shared" si="8"/>
        <v>113594.48681999999</v>
      </c>
    </row>
    <row r="31" spans="1:19" s="134" customFormat="1" ht="48" x14ac:dyDescent="0.3">
      <c r="A31" s="332"/>
      <c r="B31" s="338"/>
      <c r="C31" s="338"/>
      <c r="D31" s="8" t="s">
        <v>102</v>
      </c>
      <c r="E31" s="87"/>
      <c r="F31" s="87">
        <v>0</v>
      </c>
      <c r="G31" s="87"/>
      <c r="H31" s="87"/>
      <c r="I31" s="84"/>
      <c r="J31" s="84"/>
      <c r="K31" s="85"/>
      <c r="L31" s="85"/>
      <c r="M31" s="85"/>
      <c r="N31" s="85">
        <f t="shared" si="30"/>
        <v>0</v>
      </c>
      <c r="O31" s="132"/>
      <c r="P31" s="133">
        <f t="shared" si="8"/>
        <v>0</v>
      </c>
    </row>
    <row r="32" spans="1:19" s="137" customFormat="1" ht="19.5" thickBot="1" x14ac:dyDescent="0.35">
      <c r="A32" s="332"/>
      <c r="B32" s="338"/>
      <c r="C32" s="338"/>
      <c r="D32" s="140" t="s">
        <v>21</v>
      </c>
      <c r="E32" s="86"/>
      <c r="F32" s="86"/>
      <c r="G32" s="86">
        <v>200</v>
      </c>
      <c r="H32" s="86"/>
      <c r="I32" s="84"/>
      <c r="J32" s="84"/>
      <c r="K32" s="85"/>
      <c r="L32" s="85"/>
      <c r="M32" s="85"/>
      <c r="N32" s="85">
        <f t="shared" si="30"/>
        <v>0</v>
      </c>
      <c r="O32" s="135"/>
      <c r="P32" s="136">
        <f t="shared" si="8"/>
        <v>200</v>
      </c>
    </row>
    <row r="33" spans="1:17" s="131" customFormat="1" x14ac:dyDescent="0.3">
      <c r="A33" s="332" t="s">
        <v>84</v>
      </c>
      <c r="B33" s="338" t="s">
        <v>91</v>
      </c>
      <c r="C33" s="338" t="str">
        <f>'пр 6 к МП'!C27</f>
        <v>Организация транспортного обслуживания  на территории Туруханского района</v>
      </c>
      <c r="D33" s="151" t="s">
        <v>37</v>
      </c>
      <c r="E33" s="80">
        <f t="shared" ref="E33:H33" si="31">SUM(E35:E39)</f>
        <v>119174.72440000001</v>
      </c>
      <c r="F33" s="80">
        <f t="shared" si="31"/>
        <v>81921.9133</v>
      </c>
      <c r="G33" s="80">
        <f t="shared" si="31"/>
        <v>94460.706969999999</v>
      </c>
      <c r="H33" s="80">
        <f t="shared" si="31"/>
        <v>91047.031289999984</v>
      </c>
      <c r="I33" s="80">
        <f>SUM(I35:I39)</f>
        <v>106290.91970999999</v>
      </c>
      <c r="J33" s="80">
        <f t="shared" ref="J33" si="32">SUM(J35:J39)</f>
        <v>130456.00199999999</v>
      </c>
      <c r="K33" s="81">
        <f>SUM(K35:K39)</f>
        <v>145058.79399999999</v>
      </c>
      <c r="L33" s="81">
        <f>SUM(L35:L39)</f>
        <v>145058.79399999999</v>
      </c>
      <c r="M33" s="81">
        <f t="shared" ref="M33" si="33">SUM(M35:M39)</f>
        <v>145058.79399999999</v>
      </c>
      <c r="N33" s="81">
        <f t="shared" si="30"/>
        <v>435176.38199999998</v>
      </c>
      <c r="O33" s="129">
        <f>N33-'пр 6 к МП'!L27</f>
        <v>0</v>
      </c>
      <c r="P33" s="130">
        <f t="shared" si="8"/>
        <v>1058527.67967</v>
      </c>
      <c r="Q33" s="131" t="b">
        <f>SUM(P35:P39)=P33</f>
        <v>1</v>
      </c>
    </row>
    <row r="34" spans="1:17" s="134" customFormat="1" x14ac:dyDescent="0.3">
      <c r="A34" s="332"/>
      <c r="B34" s="338"/>
      <c r="C34" s="338"/>
      <c r="D34" s="140" t="s">
        <v>20</v>
      </c>
      <c r="E34" s="86"/>
      <c r="F34" s="86"/>
      <c r="G34" s="86"/>
      <c r="H34" s="86"/>
      <c r="I34" s="84"/>
      <c r="J34" s="84"/>
      <c r="K34" s="85"/>
      <c r="L34" s="85"/>
      <c r="M34" s="85"/>
      <c r="N34" s="85"/>
      <c r="O34" s="132"/>
      <c r="P34" s="133">
        <f t="shared" si="8"/>
        <v>0</v>
      </c>
    </row>
    <row r="35" spans="1:17" s="134" customFormat="1" x14ac:dyDescent="0.3">
      <c r="A35" s="332"/>
      <c r="B35" s="338"/>
      <c r="C35" s="338"/>
      <c r="D35" s="7" t="s">
        <v>100</v>
      </c>
      <c r="E35" s="86"/>
      <c r="F35" s="86"/>
      <c r="G35" s="86"/>
      <c r="H35" s="86"/>
      <c r="I35" s="84"/>
      <c r="J35" s="84"/>
      <c r="K35" s="85"/>
      <c r="L35" s="85"/>
      <c r="M35" s="85"/>
      <c r="N35" s="85">
        <f t="shared" ref="N35:N40" si="34">SUM(K35:M35)</f>
        <v>0</v>
      </c>
      <c r="O35" s="132"/>
      <c r="P35" s="133">
        <f t="shared" si="8"/>
        <v>0</v>
      </c>
    </row>
    <row r="36" spans="1:17" s="134" customFormat="1" x14ac:dyDescent="0.3">
      <c r="A36" s="332"/>
      <c r="B36" s="338"/>
      <c r="C36" s="338"/>
      <c r="D36" s="140" t="s">
        <v>101</v>
      </c>
      <c r="E36" s="86"/>
      <c r="F36" s="86"/>
      <c r="G36" s="86"/>
      <c r="H36" s="86"/>
      <c r="I36" s="84"/>
      <c r="J36" s="84"/>
      <c r="K36" s="85"/>
      <c r="L36" s="85"/>
      <c r="M36" s="85"/>
      <c r="N36" s="85">
        <f t="shared" si="34"/>
        <v>0</v>
      </c>
      <c r="O36" s="132"/>
      <c r="P36" s="133">
        <f t="shared" si="8"/>
        <v>0</v>
      </c>
    </row>
    <row r="37" spans="1:17" s="134" customFormat="1" x14ac:dyDescent="0.3">
      <c r="A37" s="332"/>
      <c r="B37" s="338"/>
      <c r="C37" s="338"/>
      <c r="D37" s="140" t="s">
        <v>40</v>
      </c>
      <c r="E37" s="86">
        <v>119174.72440000001</v>
      </c>
      <c r="F37" s="86">
        <v>81921.9133</v>
      </c>
      <c r="G37" s="86">
        <v>94460.706969999999</v>
      </c>
      <c r="H37" s="86">
        <v>91047.031289999984</v>
      </c>
      <c r="I37" s="84">
        <v>106290.91970999999</v>
      </c>
      <c r="J37" s="84">
        <v>130456.00199999999</v>
      </c>
      <c r="K37" s="85">
        <f>'пр к ПП2'!H16+'пр к ПП2'!H18+'пр к ПП2'!H21+'пр к ПП2'!H23+'пр к ПП2'!H26</f>
        <v>145058.79399999999</v>
      </c>
      <c r="L37" s="85">
        <f>'пр к ПП2'!I16+'пр к ПП2'!I18+'пр к ПП2'!I21+'пр к ПП2'!I23+'пр к ПП2'!I26</f>
        <v>145058.79399999999</v>
      </c>
      <c r="M37" s="85">
        <f>'пр к ПП2'!J16+'пр к ПП2'!J18+'пр к ПП2'!J21+'пр к ПП2'!J23+'пр к ПП2'!J26</f>
        <v>145058.79399999999</v>
      </c>
      <c r="N37" s="85">
        <f>'пр к ПП2'!K16+'пр к ПП2'!K18+'пр к ПП2'!K21+'пр к ПП2'!K23+'пр к ПП2'!K26</f>
        <v>435176.38199999998</v>
      </c>
      <c r="O37" s="132"/>
      <c r="P37" s="133">
        <f t="shared" si="8"/>
        <v>1058527.67967</v>
      </c>
    </row>
    <row r="38" spans="1:17" s="134" customFormat="1" ht="48" x14ac:dyDescent="0.3">
      <c r="A38" s="332"/>
      <c r="B38" s="338"/>
      <c r="C38" s="338"/>
      <c r="D38" s="8" t="s">
        <v>102</v>
      </c>
      <c r="E38" s="87"/>
      <c r="F38" s="87"/>
      <c r="G38" s="87"/>
      <c r="H38" s="87"/>
      <c r="I38" s="84"/>
      <c r="J38" s="84"/>
      <c r="K38" s="85"/>
      <c r="L38" s="85"/>
      <c r="M38" s="85"/>
      <c r="N38" s="85">
        <f t="shared" si="34"/>
        <v>0</v>
      </c>
      <c r="O38" s="132"/>
      <c r="P38" s="133">
        <f t="shared" si="8"/>
        <v>0</v>
      </c>
    </row>
    <row r="39" spans="1:17" s="137" customFormat="1" ht="19.5" thickBot="1" x14ac:dyDescent="0.35">
      <c r="A39" s="332"/>
      <c r="B39" s="338"/>
      <c r="C39" s="338"/>
      <c r="D39" s="140" t="s">
        <v>21</v>
      </c>
      <c r="E39" s="86"/>
      <c r="F39" s="86"/>
      <c r="G39" s="86"/>
      <c r="H39" s="86"/>
      <c r="I39" s="84"/>
      <c r="J39" s="84"/>
      <c r="K39" s="85"/>
      <c r="L39" s="85"/>
      <c r="M39" s="85"/>
      <c r="N39" s="85">
        <f t="shared" si="34"/>
        <v>0</v>
      </c>
      <c r="O39" s="135"/>
      <c r="P39" s="136">
        <f t="shared" si="8"/>
        <v>0</v>
      </c>
    </row>
    <row r="40" spans="1:17" s="131" customFormat="1" x14ac:dyDescent="0.3">
      <c r="A40" s="332" t="s">
        <v>86</v>
      </c>
      <c r="B40" s="338" t="s">
        <v>92</v>
      </c>
      <c r="C40" s="338" t="str">
        <f>'пр 6 к МП'!C32</f>
        <v>Безопасность дорожного движения в Туруханском районе</v>
      </c>
      <c r="D40" s="151" t="s">
        <v>37</v>
      </c>
      <c r="E40" s="80">
        <f t="shared" ref="E40:H40" si="35">SUM(E42:E46)</f>
        <v>23.4</v>
      </c>
      <c r="F40" s="80">
        <f t="shared" si="35"/>
        <v>0</v>
      </c>
      <c r="G40" s="80">
        <f t="shared" si="35"/>
        <v>463.12</v>
      </c>
      <c r="H40" s="80">
        <f t="shared" si="35"/>
        <v>152.5</v>
      </c>
      <c r="I40" s="80">
        <f>SUM(I42:I46)</f>
        <v>80</v>
      </c>
      <c r="J40" s="80">
        <f t="shared" ref="J40:K40" si="36">SUM(J42:J46)</f>
        <v>220.5</v>
      </c>
      <c r="K40" s="81">
        <f t="shared" si="36"/>
        <v>0</v>
      </c>
      <c r="L40" s="81">
        <f t="shared" ref="L40:M40" si="37">SUM(L42:L46)</f>
        <v>0</v>
      </c>
      <c r="M40" s="81">
        <f t="shared" si="37"/>
        <v>0</v>
      </c>
      <c r="N40" s="81">
        <f t="shared" si="34"/>
        <v>0</v>
      </c>
      <c r="O40" s="138">
        <f>N40-'пр 6 к МП'!L32</f>
        <v>0</v>
      </c>
      <c r="P40" s="130">
        <f t="shared" si="8"/>
        <v>939.52</v>
      </c>
      <c r="Q40" s="131" t="b">
        <f>SUM(P42:P46)=P40</f>
        <v>1</v>
      </c>
    </row>
    <row r="41" spans="1:17" s="134" customFormat="1" x14ac:dyDescent="0.3">
      <c r="A41" s="332"/>
      <c r="B41" s="338"/>
      <c r="C41" s="338"/>
      <c r="D41" s="140" t="s">
        <v>20</v>
      </c>
      <c r="E41" s="86"/>
      <c r="F41" s="86"/>
      <c r="G41" s="86"/>
      <c r="H41" s="86"/>
      <c r="I41" s="84"/>
      <c r="J41" s="84"/>
      <c r="K41" s="85"/>
      <c r="L41" s="85"/>
      <c r="M41" s="85"/>
      <c r="N41" s="85"/>
      <c r="O41" s="132"/>
      <c r="P41" s="133">
        <f t="shared" si="8"/>
        <v>0</v>
      </c>
    </row>
    <row r="42" spans="1:17" s="134" customFormat="1" x14ac:dyDescent="0.3">
      <c r="A42" s="332"/>
      <c r="B42" s="338"/>
      <c r="C42" s="338"/>
      <c r="D42" s="7" t="s">
        <v>100</v>
      </c>
      <c r="E42" s="86"/>
      <c r="F42" s="86"/>
      <c r="G42" s="86"/>
      <c r="H42" s="86"/>
      <c r="I42" s="84"/>
      <c r="J42" s="84"/>
      <c r="K42" s="85"/>
      <c r="L42" s="85"/>
      <c r="M42" s="85"/>
      <c r="N42" s="85">
        <f t="shared" ref="N42:N47" si="38">SUM(K42:M42)</f>
        <v>0</v>
      </c>
      <c r="O42" s="132"/>
      <c r="P42" s="133">
        <f t="shared" si="8"/>
        <v>0</v>
      </c>
    </row>
    <row r="43" spans="1:17" s="134" customFormat="1" x14ac:dyDescent="0.3">
      <c r="A43" s="332"/>
      <c r="B43" s="338"/>
      <c r="C43" s="338"/>
      <c r="D43" s="140" t="s">
        <v>101</v>
      </c>
      <c r="E43" s="86">
        <v>23.4</v>
      </c>
      <c r="F43" s="86">
        <v>0</v>
      </c>
      <c r="G43" s="86">
        <v>142.636</v>
      </c>
      <c r="H43" s="86">
        <v>152</v>
      </c>
      <c r="I43" s="84">
        <v>80</v>
      </c>
      <c r="J43" s="84">
        <v>220.5</v>
      </c>
      <c r="K43" s="85">
        <f>'пр к ПП3'!H18+'пр к ПП3'!H15</f>
        <v>0</v>
      </c>
      <c r="L43" s="85">
        <f>'пр к ПП3'!I18+'пр к ПП3'!I15</f>
        <v>0</v>
      </c>
      <c r="M43" s="85">
        <f>'пр к ПП3'!J18+'пр к ПП3'!J15</f>
        <v>0</v>
      </c>
      <c r="N43" s="85">
        <f t="shared" si="38"/>
        <v>0</v>
      </c>
      <c r="O43" s="132"/>
      <c r="P43" s="133">
        <f t="shared" si="8"/>
        <v>618.53600000000006</v>
      </c>
    </row>
    <row r="44" spans="1:17" s="134" customFormat="1" x14ac:dyDescent="0.3">
      <c r="A44" s="332"/>
      <c r="B44" s="338"/>
      <c r="C44" s="338"/>
      <c r="D44" s="140" t="s">
        <v>40</v>
      </c>
      <c r="E44" s="86">
        <v>0</v>
      </c>
      <c r="F44" s="86">
        <v>0</v>
      </c>
      <c r="G44" s="86">
        <v>320.48399999999998</v>
      </c>
      <c r="H44" s="86">
        <v>0.5</v>
      </c>
      <c r="I44" s="84">
        <v>0</v>
      </c>
      <c r="J44" s="84">
        <f>'пр к ПП3'!G16</f>
        <v>0</v>
      </c>
      <c r="K44" s="85">
        <f>'пр к ПП3'!H16</f>
        <v>0</v>
      </c>
      <c r="L44" s="85">
        <f>'пр к ПП3'!I16</f>
        <v>0</v>
      </c>
      <c r="M44" s="85">
        <f>'пр к ПП3'!J16</f>
        <v>0</v>
      </c>
      <c r="N44" s="85">
        <f t="shared" si="38"/>
        <v>0</v>
      </c>
      <c r="O44" s="132"/>
      <c r="P44" s="133">
        <f t="shared" si="8"/>
        <v>320.98399999999998</v>
      </c>
    </row>
    <row r="45" spans="1:17" s="134" customFormat="1" ht="48" x14ac:dyDescent="0.3">
      <c r="A45" s="332"/>
      <c r="B45" s="338"/>
      <c r="C45" s="338"/>
      <c r="D45" s="8" t="s">
        <v>102</v>
      </c>
      <c r="E45" s="87"/>
      <c r="F45" s="87"/>
      <c r="G45" s="87"/>
      <c r="H45" s="87"/>
      <c r="I45" s="84"/>
      <c r="J45" s="84"/>
      <c r="K45" s="85"/>
      <c r="L45" s="85"/>
      <c r="M45" s="85"/>
      <c r="N45" s="85">
        <f t="shared" si="38"/>
        <v>0</v>
      </c>
      <c r="O45" s="132"/>
      <c r="P45" s="133">
        <f t="shared" si="8"/>
        <v>0</v>
      </c>
    </row>
    <row r="46" spans="1:17" s="137" customFormat="1" ht="19.5" thickBot="1" x14ac:dyDescent="0.35">
      <c r="A46" s="332"/>
      <c r="B46" s="338"/>
      <c r="C46" s="338"/>
      <c r="D46" s="140" t="s">
        <v>21</v>
      </c>
      <c r="E46" s="86"/>
      <c r="F46" s="86"/>
      <c r="G46" s="86"/>
      <c r="H46" s="86"/>
      <c r="I46" s="84"/>
      <c r="J46" s="84"/>
      <c r="K46" s="85"/>
      <c r="L46" s="85"/>
      <c r="M46" s="85"/>
      <c r="N46" s="85">
        <f t="shared" si="38"/>
        <v>0</v>
      </c>
      <c r="O46" s="135"/>
      <c r="P46" s="136">
        <f t="shared" si="8"/>
        <v>0</v>
      </c>
    </row>
    <row r="47" spans="1:17" s="131" customFormat="1" x14ac:dyDescent="0.3">
      <c r="A47" s="332" t="s">
        <v>87</v>
      </c>
      <c r="B47" s="338" t="s">
        <v>93</v>
      </c>
      <c r="C47" s="338" t="str">
        <f>'пр 6 к МП'!C36</f>
        <v>Развитие связи на территории Туруханского района</v>
      </c>
      <c r="D47" s="151" t="s">
        <v>37</v>
      </c>
      <c r="E47" s="80">
        <f t="shared" ref="E47:H47" si="39">SUM(E49:E53)</f>
        <v>7523.8671199999999</v>
      </c>
      <c r="F47" s="80">
        <f t="shared" si="39"/>
        <v>11940</v>
      </c>
      <c r="G47" s="80">
        <f t="shared" si="39"/>
        <v>9390.4</v>
      </c>
      <c r="H47" s="80">
        <f t="shared" si="39"/>
        <v>12264.716</v>
      </c>
      <c r="I47" s="80">
        <f>SUM(I49:I53)</f>
        <v>13067.336670000001</v>
      </c>
      <c r="J47" s="80">
        <f t="shared" ref="J47:K47" si="40">SUM(J49:J53)</f>
        <v>13267.773999999999</v>
      </c>
      <c r="K47" s="81">
        <f t="shared" si="40"/>
        <v>10600</v>
      </c>
      <c r="L47" s="81">
        <f t="shared" ref="L47:M47" si="41">SUM(L49:L53)</f>
        <v>10600</v>
      </c>
      <c r="M47" s="81">
        <f t="shared" si="41"/>
        <v>10600</v>
      </c>
      <c r="N47" s="81">
        <f t="shared" si="38"/>
        <v>31800</v>
      </c>
      <c r="O47" s="129">
        <f>N47-'пр 6 к МП'!L36</f>
        <v>0</v>
      </c>
      <c r="P47" s="130">
        <f t="shared" si="8"/>
        <v>99254.093789999999</v>
      </c>
      <c r="Q47" s="131" t="b">
        <f>SUM(P49:P53)=P47</f>
        <v>1</v>
      </c>
    </row>
    <row r="48" spans="1:17" s="134" customFormat="1" x14ac:dyDescent="0.3">
      <c r="A48" s="332"/>
      <c r="B48" s="338"/>
      <c r="C48" s="338"/>
      <c r="D48" s="140" t="s">
        <v>20</v>
      </c>
      <c r="E48" s="86"/>
      <c r="F48" s="86"/>
      <c r="G48" s="86"/>
      <c r="H48" s="86"/>
      <c r="I48" s="84"/>
      <c r="J48" s="84"/>
      <c r="K48" s="85"/>
      <c r="L48" s="85"/>
      <c r="M48" s="85"/>
      <c r="N48" s="85"/>
      <c r="O48" s="132"/>
      <c r="P48" s="133">
        <f t="shared" si="8"/>
        <v>0</v>
      </c>
    </row>
    <row r="49" spans="1:16" s="134" customFormat="1" x14ac:dyDescent="0.3">
      <c r="A49" s="332"/>
      <c r="B49" s="338"/>
      <c r="C49" s="338"/>
      <c r="D49" s="7" t="s">
        <v>100</v>
      </c>
      <c r="E49" s="86"/>
      <c r="F49" s="86"/>
      <c r="G49" s="86"/>
      <c r="H49" s="86"/>
      <c r="I49" s="84"/>
      <c r="J49" s="84"/>
      <c r="K49" s="85"/>
      <c r="L49" s="85"/>
      <c r="M49" s="85"/>
      <c r="N49" s="85">
        <f t="shared" ref="N49:N53" si="42">SUM(K49:M49)</f>
        <v>0</v>
      </c>
      <c r="O49" s="132"/>
      <c r="P49" s="133">
        <f t="shared" si="8"/>
        <v>0</v>
      </c>
    </row>
    <row r="50" spans="1:16" s="134" customFormat="1" x14ac:dyDescent="0.3">
      <c r="A50" s="332"/>
      <c r="B50" s="338"/>
      <c r="C50" s="338"/>
      <c r="D50" s="140" t="s">
        <v>101</v>
      </c>
      <c r="E50" s="86"/>
      <c r="F50" s="86"/>
      <c r="G50" s="86"/>
      <c r="H50" s="86">
        <v>2260</v>
      </c>
      <c r="I50" s="84">
        <v>3062.2</v>
      </c>
      <c r="J50" s="84">
        <v>2654.5010000000002</v>
      </c>
      <c r="K50" s="85">
        <f>'пр к ПП4'!H17</f>
        <v>0</v>
      </c>
      <c r="L50" s="85">
        <f>'пр к ПП4'!I17</f>
        <v>0</v>
      </c>
      <c r="M50" s="85">
        <f>'пр к ПП4'!J17</f>
        <v>0</v>
      </c>
      <c r="N50" s="85">
        <f t="shared" si="42"/>
        <v>0</v>
      </c>
      <c r="O50" s="132"/>
      <c r="P50" s="133">
        <f t="shared" si="8"/>
        <v>7976.701</v>
      </c>
    </row>
    <row r="51" spans="1:16" s="134" customFormat="1" x14ac:dyDescent="0.3">
      <c r="A51" s="332"/>
      <c r="B51" s="338"/>
      <c r="C51" s="338"/>
      <c r="D51" s="140" t="s">
        <v>40</v>
      </c>
      <c r="E51" s="86">
        <v>7523.8671199999999</v>
      </c>
      <c r="F51" s="86">
        <v>11940</v>
      </c>
      <c r="G51" s="86">
        <v>9390.4</v>
      </c>
      <c r="H51" s="86">
        <v>10004.716</v>
      </c>
      <c r="I51" s="84">
        <v>10005.13667</v>
      </c>
      <c r="J51" s="84">
        <v>10613.272999999999</v>
      </c>
      <c r="K51" s="85">
        <f>'пр к ПП4'!H15+'пр к ПП4'!H18</f>
        <v>10600</v>
      </c>
      <c r="L51" s="85">
        <f>'пр к ПП4'!I15+'пр к ПП4'!I18</f>
        <v>10600</v>
      </c>
      <c r="M51" s="85">
        <f>'пр к ПП4'!J15+'пр к ПП4'!J18</f>
        <v>10600</v>
      </c>
      <c r="N51" s="85">
        <f t="shared" si="42"/>
        <v>31800</v>
      </c>
      <c r="O51" s="132"/>
      <c r="P51" s="133">
        <f t="shared" si="8"/>
        <v>91277.392789999998</v>
      </c>
    </row>
    <row r="52" spans="1:16" s="134" customFormat="1" ht="48" x14ac:dyDescent="0.3">
      <c r="A52" s="332"/>
      <c r="B52" s="338"/>
      <c r="C52" s="338"/>
      <c r="D52" s="8" t="s">
        <v>102</v>
      </c>
      <c r="E52" s="87"/>
      <c r="F52" s="87"/>
      <c r="G52" s="87"/>
      <c r="H52" s="87"/>
      <c r="I52" s="84"/>
      <c r="J52" s="84"/>
      <c r="K52" s="85"/>
      <c r="L52" s="85"/>
      <c r="M52" s="85"/>
      <c r="N52" s="85">
        <f t="shared" si="42"/>
        <v>0</v>
      </c>
      <c r="O52" s="132"/>
      <c r="P52" s="133">
        <f t="shared" si="8"/>
        <v>0</v>
      </c>
    </row>
    <row r="53" spans="1:16" s="137" customFormat="1" ht="19.5" thickBot="1" x14ac:dyDescent="0.35">
      <c r="A53" s="332"/>
      <c r="B53" s="338"/>
      <c r="C53" s="338"/>
      <c r="D53" s="140" t="s">
        <v>21</v>
      </c>
      <c r="E53" s="86"/>
      <c r="F53" s="86"/>
      <c r="G53" s="86"/>
      <c r="H53" s="86"/>
      <c r="I53" s="84"/>
      <c r="J53" s="84"/>
      <c r="K53" s="85"/>
      <c r="L53" s="85"/>
      <c r="M53" s="85"/>
      <c r="N53" s="85">
        <f t="shared" si="42"/>
        <v>0</v>
      </c>
      <c r="O53" s="135"/>
      <c r="P53" s="136">
        <f t="shared" si="8"/>
        <v>0</v>
      </c>
    </row>
    <row r="58" spans="1:16" s="1" customFormat="1" ht="15.75" hidden="1" outlineLevel="1" x14ac:dyDescent="0.25">
      <c r="A58" s="4"/>
      <c r="B58" s="1" t="s">
        <v>231</v>
      </c>
      <c r="E58" s="4"/>
      <c r="I58" s="39"/>
      <c r="J58" s="39"/>
    </row>
    <row r="59" spans="1:16" s="1" customFormat="1" ht="15.75" hidden="1" outlineLevel="1" x14ac:dyDescent="0.25">
      <c r="A59" s="4"/>
      <c r="B59" s="1" t="s">
        <v>232</v>
      </c>
      <c r="E59" s="4"/>
      <c r="I59" s="39"/>
      <c r="J59" s="39"/>
      <c r="K59" s="1" t="b">
        <f>K26='пр к ПП1'!H31</f>
        <v>1</v>
      </c>
      <c r="L59" s="1" t="b">
        <f>L26='пр к ПП1'!I31</f>
        <v>1</v>
      </c>
      <c r="M59" s="1" t="b">
        <f>M26='пр к ПП1'!J31</f>
        <v>1</v>
      </c>
      <c r="N59" s="1" t="b">
        <f>N26='пр к ПП1'!K31</f>
        <v>1</v>
      </c>
      <c r="O59" s="1" t="b">
        <f>O35='пр к ПП1'!K43</f>
        <v>1</v>
      </c>
    </row>
    <row r="60" spans="1:16" s="1" customFormat="1" ht="15.75" hidden="1" outlineLevel="1" x14ac:dyDescent="0.25">
      <c r="A60" s="4"/>
      <c r="B60" s="1" t="s">
        <v>233</v>
      </c>
      <c r="E60" s="4"/>
      <c r="I60" s="39"/>
      <c r="J60" s="39"/>
      <c r="K60" s="1" t="b">
        <f>K33='пр к ПП2'!H27</f>
        <v>1</v>
      </c>
      <c r="L60" s="1" t="b">
        <f>L33='пр к ПП2'!I27</f>
        <v>1</v>
      </c>
      <c r="M60" s="1" t="b">
        <f>M33='пр к ПП2'!J27</f>
        <v>1</v>
      </c>
      <c r="N60" s="1" t="b">
        <f>N33='пр к ПП2'!K27</f>
        <v>1</v>
      </c>
      <c r="O60" s="1" t="b">
        <f>O39='пр к ПП2'!K39</f>
        <v>1</v>
      </c>
    </row>
    <row r="61" spans="1:16" s="1" customFormat="1" ht="15.75" hidden="1" outlineLevel="1" x14ac:dyDescent="0.25">
      <c r="A61" s="4"/>
      <c r="B61" s="1" t="s">
        <v>234</v>
      </c>
      <c r="E61" s="4"/>
      <c r="I61" s="39"/>
      <c r="J61" s="39"/>
      <c r="K61" s="1" t="b">
        <f>K40='пр к ПП3'!H22</f>
        <v>1</v>
      </c>
      <c r="L61" s="1" t="b">
        <f>L40='пр к ПП3'!I22</f>
        <v>1</v>
      </c>
      <c r="M61" s="1" t="b">
        <f>M40='пр к ПП3'!J22</f>
        <v>1</v>
      </c>
      <c r="N61" s="1" t="b">
        <f>N40='пр к ПП3'!K22</f>
        <v>1</v>
      </c>
      <c r="O61" s="1" t="b">
        <f>O43='пр к ПП3'!K34</f>
        <v>1</v>
      </c>
    </row>
    <row r="62" spans="1:16" s="1" customFormat="1" ht="15.75" hidden="1" outlineLevel="1" x14ac:dyDescent="0.25">
      <c r="A62" s="4"/>
      <c r="B62" s="1" t="s">
        <v>235</v>
      </c>
      <c r="E62" s="4"/>
      <c r="I62" s="39"/>
      <c r="J62" s="39"/>
      <c r="K62" s="1" t="b">
        <f>K47='пр к ПП4'!H20</f>
        <v>1</v>
      </c>
      <c r="L62" s="1" t="b">
        <f>L47='пр к ПП4'!I20</f>
        <v>1</v>
      </c>
      <c r="M62" s="1" t="b">
        <f>M47='пр к ПП4'!J20</f>
        <v>1</v>
      </c>
      <c r="N62" s="1" t="b">
        <f>N47='пр к ПП4'!K20</f>
        <v>1</v>
      </c>
      <c r="O62" s="1" t="b">
        <f>O47='пр к ПП4'!L20</f>
        <v>0</v>
      </c>
    </row>
    <row r="63" spans="1:16" s="1" customFormat="1" ht="15.75" hidden="1" outlineLevel="1" x14ac:dyDescent="0.25">
      <c r="A63" s="4"/>
      <c r="E63" s="4"/>
      <c r="I63" s="39"/>
      <c r="J63" s="39"/>
    </row>
    <row r="64" spans="1:16" s="1" customFormat="1" ht="15.75" hidden="1" outlineLevel="1" x14ac:dyDescent="0.25">
      <c r="A64" s="4"/>
      <c r="E64" s="4"/>
      <c r="I64" s="39"/>
      <c r="J64" s="39"/>
    </row>
    <row r="65" spans="1:15" s="1" customFormat="1" ht="15.75" hidden="1" outlineLevel="1" x14ac:dyDescent="0.25">
      <c r="A65" s="4"/>
      <c r="B65" s="1" t="s">
        <v>232</v>
      </c>
      <c r="E65" s="4"/>
      <c r="I65" s="205">
        <f>I26-'пр к ПП1'!H31</f>
        <v>-14122.496839999985</v>
      </c>
      <c r="J65" s="205"/>
      <c r="K65" s="125">
        <f>K26-'пр к ПП1'!H31</f>
        <v>0</v>
      </c>
      <c r="L65" s="125">
        <f>L26-'пр к ПП1'!I31</f>
        <v>0</v>
      </c>
      <c r="M65" s="125">
        <f>M26-'пр к ПП1'!J31</f>
        <v>0</v>
      </c>
      <c r="N65" s="125">
        <f>N26-'пр к ПП1'!K31</f>
        <v>0</v>
      </c>
      <c r="O65" s="125">
        <f>O35-'пр к ПП1'!K43</f>
        <v>0</v>
      </c>
    </row>
    <row r="66" spans="1:15" s="1" customFormat="1" ht="15.75" hidden="1" outlineLevel="1" x14ac:dyDescent="0.25">
      <c r="A66" s="4"/>
      <c r="B66" s="1" t="s">
        <v>233</v>
      </c>
      <c r="E66" s="4"/>
      <c r="I66" s="205">
        <f>I33-'пр к ПП2'!H27</f>
        <v>-38767.874290000007</v>
      </c>
      <c r="J66" s="205"/>
      <c r="K66" s="125">
        <f>K33-'пр к ПП2'!H27</f>
        <v>0</v>
      </c>
      <c r="L66" s="125">
        <f>L33-'пр к ПП2'!I27</f>
        <v>0</v>
      </c>
      <c r="M66" s="125">
        <f>M33-'пр к ПП2'!J27</f>
        <v>0</v>
      </c>
      <c r="N66" s="125">
        <f>N33-'пр к ПП2'!K27</f>
        <v>0</v>
      </c>
      <c r="O66" s="125">
        <f>O39-'пр к ПП2'!K39</f>
        <v>0</v>
      </c>
    </row>
    <row r="67" spans="1:15" s="1" customFormat="1" ht="15.75" hidden="1" outlineLevel="1" x14ac:dyDescent="0.25">
      <c r="A67" s="4"/>
      <c r="B67" s="1" t="s">
        <v>234</v>
      </c>
      <c r="E67" s="4"/>
      <c r="I67" s="205">
        <f>I40-'пр к ПП3'!H22</f>
        <v>80</v>
      </c>
      <c r="J67" s="205"/>
      <c r="K67" s="125">
        <f>K40-'пр к ПП3'!H22</f>
        <v>0</v>
      </c>
      <c r="L67" s="125">
        <f>L40-'пр к ПП3'!I22</f>
        <v>0</v>
      </c>
      <c r="M67" s="125">
        <f>M40-'пр к ПП3'!J22</f>
        <v>0</v>
      </c>
      <c r="N67" s="125">
        <f>N40-'пр к ПП3'!K22</f>
        <v>0</v>
      </c>
      <c r="O67" s="125">
        <f>O43-'пр к ПП3'!K34</f>
        <v>0</v>
      </c>
    </row>
    <row r="68" spans="1:15" s="1" customFormat="1" ht="15.75" hidden="1" outlineLevel="1" x14ac:dyDescent="0.25">
      <c r="A68" s="4"/>
      <c r="B68" s="1" t="s">
        <v>235</v>
      </c>
      <c r="E68" s="4"/>
      <c r="I68" s="205">
        <f>I47-'пр к ПП4'!H20</f>
        <v>2467.3366700000006</v>
      </c>
      <c r="J68" s="205"/>
      <c r="K68" s="125">
        <f>K47-'пр к ПП4'!H20</f>
        <v>0</v>
      </c>
      <c r="L68" s="125">
        <f>L47-'пр к ПП4'!I20</f>
        <v>0</v>
      </c>
      <c r="M68" s="125">
        <f>M47-'пр к ПП4'!J20</f>
        <v>0</v>
      </c>
      <c r="N68" s="125">
        <f>N47-'пр к ПП4'!K20</f>
        <v>0</v>
      </c>
      <c r="O68" s="125">
        <f>O47-'пр к ПП4'!K32</f>
        <v>0</v>
      </c>
    </row>
    <row r="69" spans="1:15" hidden="1" outlineLevel="1" x14ac:dyDescent="0.3"/>
    <row r="70" spans="1:15" hidden="1" outlineLevel="1" x14ac:dyDescent="0.3"/>
    <row r="71" spans="1:15" collapsed="1" x14ac:dyDescent="0.3"/>
  </sheetData>
  <mergeCells count="28">
    <mergeCell ref="A40:A46"/>
    <mergeCell ref="B40:B46"/>
    <mergeCell ref="C40:C46"/>
    <mergeCell ref="A47:A53"/>
    <mergeCell ref="N16:N17"/>
    <mergeCell ref="A19:A25"/>
    <mergeCell ref="B19:B25"/>
    <mergeCell ref="C19:C25"/>
    <mergeCell ref="A33:A39"/>
    <mergeCell ref="B33:B39"/>
    <mergeCell ref="C33:C39"/>
    <mergeCell ref="B47:B53"/>
    <mergeCell ref="C47:C53"/>
    <mergeCell ref="A26:A32"/>
    <mergeCell ref="B26:B32"/>
    <mergeCell ref="C26:C32"/>
    <mergeCell ref="A16:A17"/>
    <mergeCell ref="B16:B17"/>
    <mergeCell ref="C16:C17"/>
    <mergeCell ref="D16:D17"/>
    <mergeCell ref="A13:N13"/>
    <mergeCell ref="K1:N1"/>
    <mergeCell ref="A12:N12"/>
    <mergeCell ref="K5:N5"/>
    <mergeCell ref="A8:N8"/>
    <mergeCell ref="A9:N9"/>
    <mergeCell ref="A10:N10"/>
    <mergeCell ref="A11:N11"/>
  </mergeCells>
  <pageMargins left="0.78740157480314965" right="0.78740157480314965" top="1.1811023622047245" bottom="0.2" header="0.31496062992125984" footer="0.31496062992125984"/>
  <pageSetup paperSize="9" scale="82" fitToHeight="0" orientation="landscape" r:id="rId1"/>
  <rowBreaks count="2" manualBreakCount="2">
    <brk id="25" max="16" man="1"/>
    <brk id="46" max="16" man="1"/>
  </rowBreaks>
  <colBreaks count="2" manualBreakCount="2">
    <brk id="10" max="1048575" man="1"/>
    <brk id="14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3"/>
  <sheetViews>
    <sheetView showZeros="0" topLeftCell="B19" zoomScale="85" zoomScaleNormal="85" workbookViewId="0">
      <selection activeCell="F21" sqref="F21"/>
    </sheetView>
  </sheetViews>
  <sheetFormatPr defaultRowHeight="15.75" x14ac:dyDescent="0.25"/>
  <cols>
    <col min="2" max="2" width="5" style="65" bestFit="1" customWidth="1"/>
    <col min="3" max="3" width="22.75" customWidth="1"/>
    <col min="4" max="4" width="25.375" customWidth="1"/>
    <col min="5" max="5" width="15.375" customWidth="1"/>
    <col min="6" max="6" width="13.625" bestFit="1" customWidth="1"/>
    <col min="7" max="8" width="13.625" customWidth="1"/>
    <col min="13" max="13" width="15.5" customWidth="1"/>
    <col min="14" max="15" width="12" customWidth="1"/>
  </cols>
  <sheetData>
    <row r="1" spans="1:16" x14ac:dyDescent="0.25">
      <c r="A1" s="339"/>
      <c r="B1" s="340" t="s">
        <v>19</v>
      </c>
      <c r="C1" s="340" t="s">
        <v>177</v>
      </c>
      <c r="D1" s="340" t="s">
        <v>178</v>
      </c>
      <c r="E1" s="340" t="s">
        <v>179</v>
      </c>
      <c r="F1" s="340" t="s">
        <v>180</v>
      </c>
      <c r="G1" s="340"/>
      <c r="H1" s="340"/>
      <c r="I1" s="340"/>
      <c r="J1" s="340"/>
      <c r="K1" s="349"/>
      <c r="M1" s="340" t="s">
        <v>180</v>
      </c>
      <c r="N1" s="340"/>
      <c r="O1" s="340"/>
      <c r="P1" s="340"/>
    </row>
    <row r="2" spans="1:16" x14ac:dyDescent="0.25">
      <c r="A2" s="339"/>
      <c r="B2" s="340"/>
      <c r="C2" s="340"/>
      <c r="D2" s="340"/>
      <c r="E2" s="340"/>
      <c r="F2" s="340" t="s">
        <v>181</v>
      </c>
      <c r="G2" s="340"/>
      <c r="H2" s="340"/>
      <c r="I2" s="340"/>
      <c r="J2" s="340" t="s">
        <v>182</v>
      </c>
      <c r="K2" s="349"/>
      <c r="M2" s="340" t="s">
        <v>181</v>
      </c>
      <c r="N2" s="340"/>
      <c r="O2" s="340"/>
      <c r="P2" s="340"/>
    </row>
    <row r="3" spans="1:16" x14ac:dyDescent="0.25">
      <c r="A3" s="339"/>
      <c r="B3" s="340"/>
      <c r="C3" s="340"/>
      <c r="D3" s="340"/>
      <c r="E3" s="340"/>
      <c r="F3" s="340" t="s">
        <v>183</v>
      </c>
      <c r="G3" s="340"/>
      <c r="H3" s="340"/>
      <c r="I3" s="340" t="s">
        <v>184</v>
      </c>
      <c r="J3" s="340"/>
      <c r="K3" s="349"/>
      <c r="M3" s="340" t="s">
        <v>183</v>
      </c>
      <c r="N3" s="340"/>
      <c r="O3" s="340"/>
      <c r="P3" s="340" t="s">
        <v>184</v>
      </c>
    </row>
    <row r="4" spans="1:16" x14ac:dyDescent="0.25">
      <c r="A4" s="339"/>
      <c r="B4" s="340"/>
      <c r="C4" s="340"/>
      <c r="D4" s="340"/>
      <c r="E4" s="340"/>
      <c r="F4" s="218" t="str">
        <f>LEFT('пр 6 к МП'!I14,4)</f>
        <v>2020</v>
      </c>
      <c r="G4" s="218" t="str">
        <f>LEFT('пр 6 к МП'!J14,4)</f>
        <v>2021</v>
      </c>
      <c r="H4" s="218" t="str">
        <f>LEFT('пр 6 к МП'!K14,4)</f>
        <v>2022</v>
      </c>
      <c r="I4" s="340"/>
      <c r="J4" s="340"/>
      <c r="K4" s="349"/>
      <c r="M4" s="226" t="str">
        <f>F4</f>
        <v>2020</v>
      </c>
      <c r="N4" s="226" t="str">
        <f t="shared" ref="N4:O4" si="0">G4</f>
        <v>2021</v>
      </c>
      <c r="O4" s="226" t="str">
        <f t="shared" si="0"/>
        <v>2022</v>
      </c>
      <c r="P4" s="340"/>
    </row>
    <row r="5" spans="1:16" ht="15.75" customHeight="1" x14ac:dyDescent="0.25">
      <c r="A5" s="339"/>
      <c r="B5" s="341">
        <v>1</v>
      </c>
      <c r="C5" s="342" t="str">
        <f>'пр к ПП1'!B15</f>
        <v>Расходы на содержание автомобильных дорог общего пользования местного значения за счет средств дорожного фонда Красноярского края</v>
      </c>
      <c r="D5" s="63" t="s">
        <v>193</v>
      </c>
      <c r="E5" s="340" t="s">
        <v>186</v>
      </c>
      <c r="F5" s="66">
        <f>SUM(F6:F12)</f>
        <v>26.370200000000004</v>
      </c>
      <c r="G5" s="66">
        <f t="shared" ref="G5:H5" si="1">SUM(G6:G12)</f>
        <v>27.398600000000002</v>
      </c>
      <c r="H5" s="66">
        <f t="shared" si="1"/>
        <v>28.467099999999999</v>
      </c>
      <c r="I5" s="66">
        <f t="shared" ref="I5:I20" si="2">SUM(F5:H5)</f>
        <v>82.235900000000001</v>
      </c>
      <c r="J5" s="340" t="s">
        <v>194</v>
      </c>
      <c r="K5" s="349"/>
      <c r="M5" s="164">
        <f>SUM(M6:M12)</f>
        <v>26370.2</v>
      </c>
      <c r="N5" s="164">
        <f t="shared" ref="N5:O5" si="3">SUM(N6:N12)</f>
        <v>27398.6</v>
      </c>
      <c r="O5" s="164">
        <f t="shared" si="3"/>
        <v>28467.1</v>
      </c>
      <c r="P5" s="163">
        <f t="shared" ref="P5" si="4">SUM(M5:O5)</f>
        <v>82235.899999999994</v>
      </c>
    </row>
    <row r="6" spans="1:16" ht="25.5" x14ac:dyDescent="0.25">
      <c r="A6" s="339"/>
      <c r="B6" s="341"/>
      <c r="C6" s="342"/>
      <c r="D6" s="57" t="s">
        <v>191</v>
      </c>
      <c r="E6" s="340"/>
      <c r="F6" s="76">
        <f>M6/1000</f>
        <v>3.9563999999999999</v>
      </c>
      <c r="G6" s="76">
        <f t="shared" ref="G6:H12" si="5">N6/1000</f>
        <v>4.1100000000000003</v>
      </c>
      <c r="H6" s="76">
        <f t="shared" si="5"/>
        <v>4.2709999999999999</v>
      </c>
      <c r="I6" s="66">
        <f t="shared" si="2"/>
        <v>12.337399999999999</v>
      </c>
      <c r="J6" s="340"/>
      <c r="K6" s="349"/>
      <c r="M6" s="144">
        <f>F35</f>
        <v>3956.4</v>
      </c>
      <c r="N6" s="144">
        <f t="shared" ref="N6:O12" si="6">G35</f>
        <v>4110</v>
      </c>
      <c r="O6" s="144">
        <f t="shared" si="6"/>
        <v>4271</v>
      </c>
      <c r="P6" s="163"/>
    </row>
    <row r="7" spans="1:16" ht="25.5" x14ac:dyDescent="0.25">
      <c r="A7" s="339"/>
      <c r="B7" s="341"/>
      <c r="C7" s="342"/>
      <c r="D7" s="57" t="s">
        <v>200</v>
      </c>
      <c r="E7" s="340"/>
      <c r="F7" s="76">
        <f t="shared" ref="F7:F12" si="7">M7/1000</f>
        <v>0.87920000000000009</v>
      </c>
      <c r="G7" s="76">
        <f t="shared" si="5"/>
        <v>0.91400000000000003</v>
      </c>
      <c r="H7" s="76">
        <f t="shared" si="5"/>
        <v>0.95</v>
      </c>
      <c r="I7" s="66">
        <f t="shared" si="2"/>
        <v>2.7431999999999999</v>
      </c>
      <c r="J7" s="340"/>
      <c r="K7" s="349"/>
      <c r="M7" s="144">
        <f t="shared" ref="M7:M12" si="8">F36</f>
        <v>879.2</v>
      </c>
      <c r="N7" s="144">
        <f t="shared" si="6"/>
        <v>914</v>
      </c>
      <c r="O7" s="144">
        <f t="shared" si="6"/>
        <v>950</v>
      </c>
      <c r="P7" s="163">
        <f t="shared" ref="P7:P20" si="9">SUM(M7:O7)</f>
        <v>2743.2</v>
      </c>
    </row>
    <row r="8" spans="1:16" ht="25.5" x14ac:dyDescent="0.25">
      <c r="A8" s="339"/>
      <c r="B8" s="341"/>
      <c r="C8" s="342"/>
      <c r="D8" s="57" t="s">
        <v>192</v>
      </c>
      <c r="E8" s="340"/>
      <c r="F8" s="76">
        <f t="shared" si="7"/>
        <v>2.8134000000000001</v>
      </c>
      <c r="G8" s="76">
        <f t="shared" si="5"/>
        <v>2.9220000000000002</v>
      </c>
      <c r="H8" s="76">
        <f t="shared" si="5"/>
        <v>3.036</v>
      </c>
      <c r="I8" s="66">
        <f t="shared" si="2"/>
        <v>8.7713999999999999</v>
      </c>
      <c r="J8" s="340"/>
      <c r="K8" s="349"/>
      <c r="M8" s="144">
        <f t="shared" si="8"/>
        <v>2813.4</v>
      </c>
      <c r="N8" s="144">
        <f t="shared" si="6"/>
        <v>2922</v>
      </c>
      <c r="O8" s="144">
        <f t="shared" si="6"/>
        <v>3036</v>
      </c>
      <c r="P8" s="163">
        <f t="shared" si="9"/>
        <v>8771.4</v>
      </c>
    </row>
    <row r="9" spans="1:16" ht="25.5" x14ac:dyDescent="0.25">
      <c r="A9" s="339"/>
      <c r="B9" s="341"/>
      <c r="C9" s="342"/>
      <c r="D9" s="57" t="s">
        <v>201</v>
      </c>
      <c r="E9" s="340"/>
      <c r="F9" s="76">
        <f t="shared" si="7"/>
        <v>0.87920000000000009</v>
      </c>
      <c r="G9" s="76">
        <f t="shared" si="5"/>
        <v>0.91400000000000003</v>
      </c>
      <c r="H9" s="76">
        <f t="shared" si="5"/>
        <v>0.95</v>
      </c>
      <c r="I9" s="66">
        <f t="shared" si="2"/>
        <v>2.7431999999999999</v>
      </c>
      <c r="J9" s="340"/>
      <c r="K9" s="349"/>
      <c r="M9" s="144">
        <f t="shared" si="8"/>
        <v>879.2</v>
      </c>
      <c r="N9" s="144">
        <f t="shared" si="6"/>
        <v>914</v>
      </c>
      <c r="O9" s="144">
        <f t="shared" si="6"/>
        <v>950</v>
      </c>
      <c r="P9" s="163">
        <f t="shared" si="9"/>
        <v>2743.2</v>
      </c>
    </row>
    <row r="10" spans="1:16" ht="25.5" customHeight="1" x14ac:dyDescent="0.25">
      <c r="A10" s="339"/>
      <c r="B10" s="341"/>
      <c r="C10" s="342"/>
      <c r="D10" s="171" t="s">
        <v>190</v>
      </c>
      <c r="E10" s="340"/>
      <c r="F10" s="76">
        <f t="shared" si="7"/>
        <v>8.0007999999999999</v>
      </c>
      <c r="G10" s="76">
        <f t="shared" si="5"/>
        <v>8.3125999999999998</v>
      </c>
      <c r="H10" s="76">
        <f t="shared" si="5"/>
        <v>8.6370000000000005</v>
      </c>
      <c r="I10" s="66">
        <f t="shared" si="2"/>
        <v>24.950400000000002</v>
      </c>
      <c r="J10" s="340"/>
      <c r="K10" s="349"/>
      <c r="M10" s="144">
        <f t="shared" si="8"/>
        <v>8000.8</v>
      </c>
      <c r="N10" s="144">
        <f t="shared" si="6"/>
        <v>8312.6</v>
      </c>
      <c r="O10" s="144">
        <f t="shared" si="6"/>
        <v>8637</v>
      </c>
      <c r="P10" s="163">
        <f t="shared" si="9"/>
        <v>24950.400000000001</v>
      </c>
    </row>
    <row r="11" spans="1:16" ht="25.5" x14ac:dyDescent="0.25">
      <c r="A11" s="339"/>
      <c r="B11" s="341"/>
      <c r="C11" s="342"/>
      <c r="D11" s="57" t="s">
        <v>189</v>
      </c>
      <c r="E11" s="340"/>
      <c r="F11" s="76">
        <f t="shared" si="7"/>
        <v>1.1434000000000002</v>
      </c>
      <c r="G11" s="76">
        <f t="shared" si="5"/>
        <v>1.19</v>
      </c>
      <c r="H11" s="76">
        <f t="shared" si="5"/>
        <v>1.2350000000000001</v>
      </c>
      <c r="I11" s="66">
        <f t="shared" si="2"/>
        <v>3.5684000000000005</v>
      </c>
      <c r="J11" s="340"/>
      <c r="K11" s="349"/>
      <c r="M11" s="144">
        <f t="shared" si="8"/>
        <v>1143.4000000000001</v>
      </c>
      <c r="N11" s="144">
        <f t="shared" si="6"/>
        <v>1190</v>
      </c>
      <c r="O11" s="144">
        <f t="shared" si="6"/>
        <v>1235</v>
      </c>
      <c r="P11" s="163">
        <f t="shared" si="9"/>
        <v>3568.4</v>
      </c>
    </row>
    <row r="12" spans="1:16" x14ac:dyDescent="0.25">
      <c r="A12" s="339"/>
      <c r="B12" s="341"/>
      <c r="C12" s="342"/>
      <c r="D12" s="57" t="s">
        <v>199</v>
      </c>
      <c r="E12" s="340"/>
      <c r="F12" s="76">
        <f t="shared" si="7"/>
        <v>8.6977999999999991</v>
      </c>
      <c r="G12" s="76">
        <f t="shared" si="5"/>
        <v>9.0359999999999996</v>
      </c>
      <c r="H12" s="76">
        <f t="shared" si="5"/>
        <v>9.3880999999999979</v>
      </c>
      <c r="I12" s="66">
        <f t="shared" si="2"/>
        <v>27.121899999999997</v>
      </c>
      <c r="J12" s="340"/>
      <c r="K12" s="349"/>
      <c r="M12" s="144">
        <f t="shared" si="8"/>
        <v>8697.7999999999993</v>
      </c>
      <c r="N12" s="144">
        <f t="shared" si="6"/>
        <v>9036</v>
      </c>
      <c r="O12" s="144">
        <f t="shared" si="6"/>
        <v>9388.0999999999985</v>
      </c>
      <c r="P12" s="163">
        <f t="shared" si="9"/>
        <v>27121.899999999998</v>
      </c>
    </row>
    <row r="13" spans="1:16" ht="15.75" customHeight="1" x14ac:dyDescent="0.25">
      <c r="A13" s="339"/>
      <c r="B13" s="341">
        <v>2</v>
      </c>
      <c r="C13" s="342" t="str">
        <f>'пр к ПП1'!B17</f>
        <v>Расходы на капитальный ремонт и ремонт автомобильных дорог общего пользования местного значения за счет средств дорожного фонда Красноярского края</v>
      </c>
      <c r="D13" s="63" t="s">
        <v>193</v>
      </c>
      <c r="E13" s="340" t="s">
        <v>186</v>
      </c>
      <c r="F13" s="76">
        <f>SUM(F14:F20)</f>
        <v>11.636100000000001</v>
      </c>
      <c r="G13" s="76">
        <f t="shared" ref="G13:H13" si="10">SUM(G14:G20)</f>
        <v>13.9947</v>
      </c>
      <c r="H13" s="76">
        <f t="shared" si="10"/>
        <v>13.9947</v>
      </c>
      <c r="I13" s="66">
        <f t="shared" si="2"/>
        <v>39.625500000000002</v>
      </c>
      <c r="J13" s="345" t="s">
        <v>194</v>
      </c>
      <c r="K13" s="349"/>
      <c r="M13" s="165">
        <f>SUM(M14:M20)</f>
        <v>11636.1</v>
      </c>
      <c r="N13" s="165">
        <f t="shared" ref="N13:O13" si="11">SUM(N14:N20)</f>
        <v>13994.7</v>
      </c>
      <c r="O13" s="165">
        <f t="shared" si="11"/>
        <v>13994.7</v>
      </c>
      <c r="P13" s="163">
        <f t="shared" si="9"/>
        <v>39625.5</v>
      </c>
    </row>
    <row r="14" spans="1:16" ht="25.5" x14ac:dyDescent="0.25">
      <c r="A14" s="339"/>
      <c r="B14" s="341"/>
      <c r="C14" s="342"/>
      <c r="D14" s="57" t="s">
        <v>191</v>
      </c>
      <c r="E14" s="340"/>
      <c r="F14" s="76">
        <f t="shared" ref="F14:F20" si="12">M14/1000</f>
        <v>1.3959999999999999</v>
      </c>
      <c r="G14" s="76">
        <f t="shared" ref="G14:G20" si="13">N14/1000</f>
        <v>1.747684</v>
      </c>
      <c r="H14" s="76">
        <f t="shared" ref="H14:H20" si="14">O14/1000</f>
        <v>1.747684</v>
      </c>
      <c r="I14" s="66">
        <f t="shared" si="2"/>
        <v>4.8913679999999999</v>
      </c>
      <c r="J14" s="350"/>
      <c r="K14" s="349"/>
      <c r="M14" s="144">
        <f>F46</f>
        <v>1396</v>
      </c>
      <c r="N14" s="144">
        <f t="shared" ref="N14:O20" si="15">G46</f>
        <v>1747.684</v>
      </c>
      <c r="O14" s="144">
        <f t="shared" si="15"/>
        <v>1747.684</v>
      </c>
      <c r="P14" s="163">
        <f t="shared" si="9"/>
        <v>4891.3680000000004</v>
      </c>
    </row>
    <row r="15" spans="1:16" ht="25.5" x14ac:dyDescent="0.25">
      <c r="A15" s="339"/>
      <c r="B15" s="341"/>
      <c r="C15" s="342"/>
      <c r="D15" s="57" t="s">
        <v>200</v>
      </c>
      <c r="E15" s="340"/>
      <c r="F15" s="76">
        <f t="shared" si="12"/>
        <v>0.69799999999999995</v>
      </c>
      <c r="G15" s="76">
        <f t="shared" si="13"/>
        <v>0.87384400000000007</v>
      </c>
      <c r="H15" s="76">
        <f t="shared" si="14"/>
        <v>0.87384400000000007</v>
      </c>
      <c r="I15" s="66">
        <f t="shared" si="2"/>
        <v>2.4456880000000001</v>
      </c>
      <c r="J15" s="350"/>
      <c r="K15" s="349"/>
      <c r="M15" s="144">
        <f t="shared" ref="M15:M20" si="16">F47</f>
        <v>698</v>
      </c>
      <c r="N15" s="144">
        <f t="shared" si="15"/>
        <v>873.84400000000005</v>
      </c>
      <c r="O15" s="144">
        <f t="shared" si="15"/>
        <v>873.84400000000005</v>
      </c>
      <c r="P15" s="163">
        <f t="shared" si="9"/>
        <v>2445.6880000000001</v>
      </c>
    </row>
    <row r="16" spans="1:16" ht="25.5" x14ac:dyDescent="0.25">
      <c r="A16" s="339"/>
      <c r="B16" s="341"/>
      <c r="C16" s="342"/>
      <c r="D16" s="57" t="s">
        <v>192</v>
      </c>
      <c r="E16" s="340"/>
      <c r="F16" s="76">
        <f t="shared" si="12"/>
        <v>0.69799999999999995</v>
      </c>
      <c r="G16" s="76">
        <f t="shared" si="13"/>
        <v>0.87384400000000007</v>
      </c>
      <c r="H16" s="76">
        <f t="shared" si="14"/>
        <v>0.87384400000000007</v>
      </c>
      <c r="I16" s="66">
        <f t="shared" si="2"/>
        <v>2.4456880000000001</v>
      </c>
      <c r="J16" s="350"/>
      <c r="K16" s="349"/>
      <c r="M16" s="144">
        <f t="shared" si="16"/>
        <v>698</v>
      </c>
      <c r="N16" s="144">
        <f t="shared" si="15"/>
        <v>873.84400000000005</v>
      </c>
      <c r="O16" s="144">
        <f t="shared" si="15"/>
        <v>873.84400000000005</v>
      </c>
      <c r="P16" s="163">
        <f t="shared" si="9"/>
        <v>2445.6880000000001</v>
      </c>
    </row>
    <row r="17" spans="1:18" ht="25.5" x14ac:dyDescent="0.25">
      <c r="A17" s="339"/>
      <c r="B17" s="341"/>
      <c r="C17" s="342"/>
      <c r="D17" s="57" t="s">
        <v>201</v>
      </c>
      <c r="E17" s="340"/>
      <c r="F17" s="76">
        <f t="shared" si="12"/>
        <v>0.69799999999999995</v>
      </c>
      <c r="G17" s="76">
        <f t="shared" si="13"/>
        <v>0.87384400000000007</v>
      </c>
      <c r="H17" s="76">
        <f t="shared" si="14"/>
        <v>0.87384400000000007</v>
      </c>
      <c r="I17" s="66">
        <f t="shared" si="2"/>
        <v>2.4456880000000001</v>
      </c>
      <c r="J17" s="350"/>
      <c r="K17" s="349"/>
      <c r="M17" s="144">
        <f t="shared" si="16"/>
        <v>698</v>
      </c>
      <c r="N17" s="144">
        <f t="shared" si="15"/>
        <v>873.84400000000005</v>
      </c>
      <c r="O17" s="144">
        <f t="shared" si="15"/>
        <v>873.84400000000005</v>
      </c>
      <c r="P17" s="163">
        <f t="shared" si="9"/>
        <v>2445.6880000000001</v>
      </c>
    </row>
    <row r="18" spans="1:18" ht="25.5" customHeight="1" x14ac:dyDescent="0.25">
      <c r="A18" s="339"/>
      <c r="B18" s="341"/>
      <c r="C18" s="342"/>
      <c r="D18" s="227" t="s">
        <v>190</v>
      </c>
      <c r="E18" s="340"/>
      <c r="F18" s="76">
        <f t="shared" si="12"/>
        <v>5.1211000000000002</v>
      </c>
      <c r="G18" s="76">
        <f t="shared" si="13"/>
        <v>6.0293370000000008</v>
      </c>
      <c r="H18" s="76">
        <f t="shared" si="14"/>
        <v>6.0293370000000008</v>
      </c>
      <c r="I18" s="66">
        <f t="shared" si="2"/>
        <v>17.179774000000002</v>
      </c>
      <c r="J18" s="350"/>
      <c r="K18" s="349"/>
      <c r="M18" s="144">
        <f t="shared" si="16"/>
        <v>5121.1000000000004</v>
      </c>
      <c r="N18" s="144">
        <f t="shared" si="15"/>
        <v>6029.3370000000004</v>
      </c>
      <c r="O18" s="144">
        <f t="shared" si="15"/>
        <v>6029.3370000000004</v>
      </c>
      <c r="P18" s="163">
        <f t="shared" si="9"/>
        <v>17179.774000000001</v>
      </c>
    </row>
    <row r="19" spans="1:18" ht="25.5" x14ac:dyDescent="0.25">
      <c r="A19" s="339"/>
      <c r="B19" s="341"/>
      <c r="C19" s="342"/>
      <c r="D19" s="57" t="s">
        <v>189</v>
      </c>
      <c r="E19" s="340"/>
      <c r="F19" s="76">
        <f t="shared" si="12"/>
        <v>0</v>
      </c>
      <c r="G19" s="76">
        <f t="shared" si="13"/>
        <v>0</v>
      </c>
      <c r="H19" s="76">
        <f t="shared" si="14"/>
        <v>0</v>
      </c>
      <c r="I19" s="66">
        <f t="shared" si="2"/>
        <v>0</v>
      </c>
      <c r="J19" s="350"/>
      <c r="K19" s="349"/>
      <c r="M19" s="144">
        <f t="shared" si="16"/>
        <v>0</v>
      </c>
      <c r="N19" s="144">
        <f t="shared" si="15"/>
        <v>0</v>
      </c>
      <c r="O19" s="144">
        <f t="shared" si="15"/>
        <v>0</v>
      </c>
      <c r="P19" s="163">
        <f t="shared" si="9"/>
        <v>0</v>
      </c>
    </row>
    <row r="20" spans="1:18" ht="25.5" customHeight="1" x14ac:dyDescent="0.25">
      <c r="A20" s="339"/>
      <c r="B20" s="341"/>
      <c r="C20" s="342"/>
      <c r="D20" s="57" t="s">
        <v>199</v>
      </c>
      <c r="E20" s="340"/>
      <c r="F20" s="76">
        <f t="shared" si="12"/>
        <v>3.0249999999999999</v>
      </c>
      <c r="G20" s="76">
        <f t="shared" si="13"/>
        <v>3.5961469999999998</v>
      </c>
      <c r="H20" s="76">
        <f t="shared" si="14"/>
        <v>3.5961469999999998</v>
      </c>
      <c r="I20" s="66">
        <f t="shared" si="2"/>
        <v>10.217293999999999</v>
      </c>
      <c r="J20" s="346"/>
      <c r="K20" s="349"/>
      <c r="M20" s="144">
        <f t="shared" si="16"/>
        <v>3025</v>
      </c>
      <c r="N20" s="144">
        <f t="shared" si="15"/>
        <v>3596.1469999999999</v>
      </c>
      <c r="O20" s="144">
        <f t="shared" si="15"/>
        <v>3596.1469999999999</v>
      </c>
      <c r="P20" s="163">
        <f t="shared" si="9"/>
        <v>10217.294</v>
      </c>
    </row>
    <row r="21" spans="1:18" ht="93" customHeight="1" x14ac:dyDescent="0.25">
      <c r="A21" s="339"/>
      <c r="B21" s="169">
        <v>3</v>
      </c>
      <c r="C21" s="100" t="str">
        <f>'пр к ПП1'!B19</f>
        <v>Расходы на содержание дороги Туруханск - Селиваниха и дорог межселенной территории (дорожный фонд)</v>
      </c>
      <c r="D21" s="63" t="s">
        <v>195</v>
      </c>
      <c r="E21" s="92" t="s">
        <v>186</v>
      </c>
      <c r="F21" s="67">
        <f>('пр к ПП1'!H20+'пр к ПП1'!H19)/1000</f>
        <v>5.65083</v>
      </c>
      <c r="G21" s="67">
        <f>('пр к ПП1'!I20+'пр к ПП1'!I19)/1000</f>
        <v>5.65083</v>
      </c>
      <c r="H21" s="67">
        <f>('пр к ПП1'!J20+'пр к ПП1'!J19)/1000</f>
        <v>5.65083</v>
      </c>
      <c r="I21" s="66">
        <f>SUM(F21:H21)</f>
        <v>16.952490000000001</v>
      </c>
      <c r="J21" s="168" t="s">
        <v>187</v>
      </c>
      <c r="K21" s="349"/>
    </row>
    <row r="22" spans="1:18" ht="109.5" customHeight="1" x14ac:dyDescent="0.25">
      <c r="A22" s="339"/>
      <c r="B22" s="169">
        <v>4</v>
      </c>
      <c r="C22" s="100" t="str">
        <f>'пр к ПП1'!B22:B23</f>
        <v>Устройство и содержание ледовой переправы для передвижения с островной на материковую часть г. Игарка (дорожный фонд)</v>
      </c>
      <c r="D22" s="63" t="s">
        <v>196</v>
      </c>
      <c r="E22" s="92" t="s">
        <v>197</v>
      </c>
      <c r="F22" s="66">
        <f>'пр к ПП1'!H22/1000</f>
        <v>2.2387550000000003</v>
      </c>
      <c r="G22" s="66">
        <f>'пр к ПП1'!I22/1000</f>
        <v>2.2387550000000003</v>
      </c>
      <c r="H22" s="66">
        <f>'пр к ПП1'!J22/1000</f>
        <v>2.2387550000000003</v>
      </c>
      <c r="I22" s="66">
        <f>'пр к ПП1'!K22/1000</f>
        <v>6.7162649999999999</v>
      </c>
      <c r="J22" s="168" t="s">
        <v>187</v>
      </c>
      <c r="K22" s="349"/>
    </row>
    <row r="23" spans="1:18" ht="109.5" customHeight="1" x14ac:dyDescent="0.25">
      <c r="A23" s="339"/>
      <c r="B23" s="343">
        <v>5</v>
      </c>
      <c r="C23" s="343" t="str">
        <f>'пр к ПП1'!B24</f>
        <v>Осуществление дорожной деятельности в отношении автомобильных дорог общего пользования местного значения в соответствии с решениями Губернатора Красноярского края, Правительства Красноярского края</v>
      </c>
      <c r="D23" s="345" t="s">
        <v>195</v>
      </c>
      <c r="E23" s="347" t="s">
        <v>186</v>
      </c>
      <c r="F23" s="163">
        <f>'пр к ПП1'!H24/1000</f>
        <v>0</v>
      </c>
      <c r="G23" s="163">
        <f>'пр к ПП1'!I24/1000</f>
        <v>0</v>
      </c>
      <c r="H23" s="163">
        <f>'пр к ПП1'!J24/1000</f>
        <v>0</v>
      </c>
      <c r="I23" s="163">
        <f>'пр к ПП1'!K24/1000</f>
        <v>0</v>
      </c>
      <c r="J23" s="240" t="s">
        <v>194</v>
      </c>
      <c r="K23" s="170"/>
    </row>
    <row r="24" spans="1:18" ht="109.5" customHeight="1" x14ac:dyDescent="0.25">
      <c r="A24" s="339"/>
      <c r="B24" s="344"/>
      <c r="C24" s="344"/>
      <c r="D24" s="346"/>
      <c r="E24" s="348"/>
      <c r="F24" s="163">
        <f>'пр к ПП1'!H25/1000</f>
        <v>0</v>
      </c>
      <c r="G24" s="163">
        <f>'пр к ПП1'!I25/1000</f>
        <v>0</v>
      </c>
      <c r="H24" s="163">
        <f>'пр к ПП1'!J25/1000</f>
        <v>0</v>
      </c>
      <c r="I24" s="163">
        <f>'пр к ПП1'!K25/1000</f>
        <v>0</v>
      </c>
      <c r="J24" s="168" t="s">
        <v>187</v>
      </c>
      <c r="K24" s="241"/>
    </row>
    <row r="25" spans="1:18" ht="109.5" customHeight="1" x14ac:dyDescent="0.25">
      <c r="A25" s="339"/>
      <c r="B25" s="216">
        <v>6</v>
      </c>
      <c r="C25" s="100" t="str">
        <f>'пр к ПП1'!B27</f>
        <v>Обустройство и содержание зимней автодороги Игарка - Светлогосрк - Туруханск</v>
      </c>
      <c r="D25" s="63" t="s">
        <v>195</v>
      </c>
      <c r="E25" s="92" t="s">
        <v>186</v>
      </c>
      <c r="F25" s="66">
        <f>'пр к ПП1'!H27/1000</f>
        <v>12.45</v>
      </c>
      <c r="G25" s="66">
        <f>'пр к ПП1'!I27/1000</f>
        <v>12.45</v>
      </c>
      <c r="H25" s="66">
        <f>'пр к ПП1'!J27/1000</f>
        <v>12.45</v>
      </c>
      <c r="I25" s="66">
        <f>'пр к ПП1'!K27/1000</f>
        <v>37.35</v>
      </c>
      <c r="J25" s="215" t="s">
        <v>187</v>
      </c>
      <c r="K25" s="217"/>
    </row>
    <row r="26" spans="1:18" x14ac:dyDescent="0.25">
      <c r="A26" s="339"/>
      <c r="B26" s="64"/>
      <c r="C26" s="106" t="s">
        <v>223</v>
      </c>
      <c r="D26" s="64" t="s">
        <v>30</v>
      </c>
      <c r="E26" s="64" t="s">
        <v>30</v>
      </c>
      <c r="F26" s="68">
        <f>F5+F13+F21+F22+F23+F24+F25</f>
        <v>58.345884999999996</v>
      </c>
      <c r="G26" s="68">
        <f>G5+G13+G21+G22+G23+G24+G25</f>
        <v>61.732884999999996</v>
      </c>
      <c r="H26" s="68">
        <f t="shared" ref="H26:I26" si="17">H5+H13+H21+H22+H23+H24+H25</f>
        <v>62.801384999999996</v>
      </c>
      <c r="I26" s="68">
        <f t="shared" si="17"/>
        <v>182.880155</v>
      </c>
      <c r="J26" s="64" t="s">
        <v>30</v>
      </c>
      <c r="K26" s="93"/>
    </row>
    <row r="28" spans="1:18" s="70" customFormat="1" x14ac:dyDescent="0.25">
      <c r="B28" s="69"/>
      <c r="F28" s="71">
        <f>SUM(F6:F12,F14:F20)</f>
        <v>38.006300000000003</v>
      </c>
      <c r="G28" s="71">
        <f>SUM(G6:G12,G14:G20)</f>
        <v>41.393299999999996</v>
      </c>
      <c r="H28" s="71">
        <f>SUM(H6:H12,H14:H20)</f>
        <v>42.461799999999997</v>
      </c>
      <c r="I28" s="71">
        <f>SUM(I6:I12,I14:I20)</f>
        <v>121.86140000000002</v>
      </c>
      <c r="L28"/>
      <c r="M28"/>
      <c r="N28"/>
      <c r="O28"/>
      <c r="P28"/>
      <c r="Q28"/>
      <c r="R28"/>
    </row>
    <row r="29" spans="1:18" s="70" customFormat="1" x14ac:dyDescent="0.25">
      <c r="B29" s="69"/>
      <c r="F29" s="72">
        <f>('пр к ПП1'!H17+'пр к ПП1'!H15)/1000</f>
        <v>40.337699999999998</v>
      </c>
      <c r="G29" s="72">
        <f>('пр к ПП1'!I17+'пр к ПП1'!I15)/1000</f>
        <v>43.597799999999999</v>
      </c>
      <c r="H29" s="72">
        <f>('пр к ПП1'!J17+'пр к ПП1'!J15)/1000</f>
        <v>44.736483999999997</v>
      </c>
      <c r="I29" s="72">
        <f>('пр к ПП1'!K17+'пр к ПП1'!K15)/1000</f>
        <v>128.67198400000001</v>
      </c>
      <c r="L29"/>
      <c r="M29"/>
      <c r="N29"/>
      <c r="O29"/>
      <c r="P29"/>
      <c r="Q29"/>
      <c r="R29"/>
    </row>
    <row r="30" spans="1:18" s="70" customFormat="1" x14ac:dyDescent="0.25">
      <c r="B30" s="69"/>
      <c r="F30" s="72" t="b">
        <f>F28=F29</f>
        <v>0</v>
      </c>
      <c r="G30" s="72" t="b">
        <f t="shared" ref="G30:I30" si="18">G28=G29</f>
        <v>0</v>
      </c>
      <c r="H30" s="72" t="b">
        <f t="shared" si="18"/>
        <v>0</v>
      </c>
      <c r="I30" s="72" t="b">
        <f t="shared" si="18"/>
        <v>0</v>
      </c>
      <c r="L30"/>
      <c r="M30"/>
      <c r="N30"/>
      <c r="O30"/>
      <c r="P30"/>
      <c r="Q30"/>
      <c r="R30"/>
    </row>
    <row r="34" spans="2:8" s="247" customFormat="1" x14ac:dyDescent="0.25">
      <c r="B34" s="248"/>
      <c r="D34" s="249" t="s">
        <v>246</v>
      </c>
      <c r="F34" s="250" t="str">
        <f>F4</f>
        <v>2020</v>
      </c>
      <c r="G34" s="250" t="str">
        <f t="shared" ref="G34:H34" si="19">G4</f>
        <v>2021</v>
      </c>
      <c r="H34" s="250" t="str">
        <f t="shared" si="19"/>
        <v>2022</v>
      </c>
    </row>
    <row r="35" spans="2:8" s="247" customFormat="1" x14ac:dyDescent="0.25">
      <c r="B35" s="248"/>
      <c r="D35" s="251" t="s">
        <v>281</v>
      </c>
      <c r="F35" s="252">
        <v>3956.4</v>
      </c>
      <c r="G35" s="253">
        <v>4110</v>
      </c>
      <c r="H35" s="253">
        <v>4271</v>
      </c>
    </row>
    <row r="36" spans="2:8" s="247" customFormat="1" x14ac:dyDescent="0.25">
      <c r="B36" s="248"/>
      <c r="D36" s="251" t="s">
        <v>282</v>
      </c>
      <c r="F36" s="252">
        <v>879.2</v>
      </c>
      <c r="G36" s="253">
        <v>914</v>
      </c>
      <c r="H36" s="253">
        <v>950</v>
      </c>
    </row>
    <row r="37" spans="2:8" s="247" customFormat="1" x14ac:dyDescent="0.25">
      <c r="B37" s="248"/>
      <c r="D37" s="251" t="s">
        <v>283</v>
      </c>
      <c r="F37" s="252">
        <v>2813.4</v>
      </c>
      <c r="G37" s="253">
        <v>2922</v>
      </c>
      <c r="H37" s="253">
        <v>3036</v>
      </c>
    </row>
    <row r="38" spans="2:8" s="247" customFormat="1" x14ac:dyDescent="0.25">
      <c r="B38" s="248"/>
      <c r="D38" s="251" t="s">
        <v>284</v>
      </c>
      <c r="F38" s="252">
        <v>879.2</v>
      </c>
      <c r="G38" s="253">
        <v>914</v>
      </c>
      <c r="H38" s="253">
        <v>950</v>
      </c>
    </row>
    <row r="39" spans="2:8" s="247" customFormat="1" x14ac:dyDescent="0.25">
      <c r="B39" s="248"/>
      <c r="D39" s="251" t="s">
        <v>285</v>
      </c>
      <c r="F39" s="252">
        <v>8000.8</v>
      </c>
      <c r="G39" s="253">
        <v>8312.6</v>
      </c>
      <c r="H39" s="253">
        <v>8637</v>
      </c>
    </row>
    <row r="40" spans="2:8" s="247" customFormat="1" x14ac:dyDescent="0.25">
      <c r="B40" s="248"/>
      <c r="D40" s="251" t="s">
        <v>286</v>
      </c>
      <c r="F40" s="252">
        <v>1143.4000000000001</v>
      </c>
      <c r="G40" s="253">
        <v>1190</v>
      </c>
      <c r="H40" s="253">
        <v>1235</v>
      </c>
    </row>
    <row r="41" spans="2:8" s="247" customFormat="1" x14ac:dyDescent="0.25">
      <c r="B41" s="248"/>
      <c r="D41" s="251" t="s">
        <v>287</v>
      </c>
      <c r="F41" s="252">
        <v>8697.7999999999993</v>
      </c>
      <c r="G41" s="253">
        <v>9036</v>
      </c>
      <c r="H41" s="253">
        <v>9388.0999999999985</v>
      </c>
    </row>
    <row r="42" spans="2:8" s="247" customFormat="1" x14ac:dyDescent="0.25">
      <c r="B42" s="248"/>
      <c r="F42" s="254">
        <f>SUM(F35:F41)</f>
        <v>26370.2</v>
      </c>
      <c r="G42" s="254">
        <f t="shared" ref="G42:H42" si="20">SUM(G35:G41)</f>
        <v>27398.6</v>
      </c>
      <c r="H42" s="254">
        <f t="shared" si="20"/>
        <v>28467.1</v>
      </c>
    </row>
    <row r="43" spans="2:8" s="247" customFormat="1" x14ac:dyDescent="0.25">
      <c r="B43" s="248"/>
    </row>
    <row r="44" spans="2:8" s="247" customFormat="1" x14ac:dyDescent="0.25">
      <c r="B44" s="248"/>
    </row>
    <row r="45" spans="2:8" s="247" customFormat="1" x14ac:dyDescent="0.25">
      <c r="B45" s="248"/>
      <c r="D45" s="249" t="s">
        <v>245</v>
      </c>
      <c r="F45" s="250" t="str">
        <f>F34</f>
        <v>2020</v>
      </c>
      <c r="G45" s="250" t="str">
        <f t="shared" ref="G45:H45" si="21">G34</f>
        <v>2021</v>
      </c>
      <c r="H45" s="250" t="str">
        <f t="shared" si="21"/>
        <v>2022</v>
      </c>
    </row>
    <row r="46" spans="2:8" s="247" customFormat="1" x14ac:dyDescent="0.25">
      <c r="B46" s="248"/>
      <c r="D46" s="251" t="s">
        <v>281</v>
      </c>
      <c r="F46" s="252">
        <v>1396</v>
      </c>
      <c r="G46" s="253">
        <v>1747.684</v>
      </c>
      <c r="H46" s="253">
        <v>1747.684</v>
      </c>
    </row>
    <row r="47" spans="2:8" s="247" customFormat="1" x14ac:dyDescent="0.25">
      <c r="B47" s="248"/>
      <c r="D47" s="251" t="s">
        <v>282</v>
      </c>
      <c r="F47" s="252">
        <v>698</v>
      </c>
      <c r="G47" s="253">
        <v>873.84400000000005</v>
      </c>
      <c r="H47" s="253">
        <v>873.84400000000005</v>
      </c>
    </row>
    <row r="48" spans="2:8" s="247" customFormat="1" x14ac:dyDescent="0.25">
      <c r="B48" s="248"/>
      <c r="D48" s="251" t="s">
        <v>283</v>
      </c>
      <c r="F48" s="252">
        <v>698</v>
      </c>
      <c r="G48" s="253">
        <v>873.84400000000005</v>
      </c>
      <c r="H48" s="253">
        <v>873.84400000000005</v>
      </c>
    </row>
    <row r="49" spans="2:8" s="247" customFormat="1" x14ac:dyDescent="0.25">
      <c r="B49" s="248"/>
      <c r="D49" s="251" t="s">
        <v>284</v>
      </c>
      <c r="F49" s="252">
        <v>698</v>
      </c>
      <c r="G49" s="253">
        <v>873.84400000000005</v>
      </c>
      <c r="H49" s="253">
        <v>873.84400000000005</v>
      </c>
    </row>
    <row r="50" spans="2:8" s="247" customFormat="1" x14ac:dyDescent="0.25">
      <c r="B50" s="248"/>
      <c r="D50" s="251" t="s">
        <v>285</v>
      </c>
      <c r="F50" s="252">
        <v>5121.1000000000004</v>
      </c>
      <c r="G50" s="253">
        <v>6029.3370000000004</v>
      </c>
      <c r="H50" s="253">
        <v>6029.3370000000004</v>
      </c>
    </row>
    <row r="51" spans="2:8" s="247" customFormat="1" x14ac:dyDescent="0.25">
      <c r="B51" s="248"/>
      <c r="D51" s="251" t="s">
        <v>286</v>
      </c>
      <c r="F51" s="252"/>
      <c r="G51" s="253"/>
      <c r="H51" s="253"/>
    </row>
    <row r="52" spans="2:8" s="247" customFormat="1" x14ac:dyDescent="0.25">
      <c r="B52" s="248"/>
      <c r="D52" s="251" t="s">
        <v>287</v>
      </c>
      <c r="F52" s="252">
        <v>3025</v>
      </c>
      <c r="G52" s="253">
        <v>3596.1469999999999</v>
      </c>
      <c r="H52" s="253">
        <v>3596.1469999999999</v>
      </c>
    </row>
    <row r="53" spans="2:8" x14ac:dyDescent="0.25">
      <c r="F53" s="254">
        <f>SUM(F46:F52)</f>
        <v>11636.1</v>
      </c>
      <c r="G53" s="254">
        <f t="shared" ref="G53" si="22">SUM(G46:G52)</f>
        <v>13994.7</v>
      </c>
      <c r="H53" s="254">
        <f t="shared" ref="H53" si="23">SUM(H46:H52)</f>
        <v>13994.7</v>
      </c>
    </row>
  </sheetData>
  <mergeCells count="27">
    <mergeCell ref="F1:J1"/>
    <mergeCell ref="F2:I2"/>
    <mergeCell ref="M1:P1"/>
    <mergeCell ref="M2:P2"/>
    <mergeCell ref="M3:O3"/>
    <mergeCell ref="P3:P4"/>
    <mergeCell ref="J2:J4"/>
    <mergeCell ref="F3:H3"/>
    <mergeCell ref="I3:I4"/>
    <mergeCell ref="K1:K22"/>
    <mergeCell ref="J5:J12"/>
    <mergeCell ref="J13:J20"/>
    <mergeCell ref="A1:A26"/>
    <mergeCell ref="B1:B4"/>
    <mergeCell ref="C1:C4"/>
    <mergeCell ref="D1:D4"/>
    <mergeCell ref="E1:E4"/>
    <mergeCell ref="B5:B12"/>
    <mergeCell ref="C5:C12"/>
    <mergeCell ref="E5:E12"/>
    <mergeCell ref="B13:B20"/>
    <mergeCell ref="C13:C20"/>
    <mergeCell ref="E13:E20"/>
    <mergeCell ref="B23:B24"/>
    <mergeCell ref="C23:C24"/>
    <mergeCell ref="D23:D24"/>
    <mergeCell ref="E23:E24"/>
  </mergeCells>
  <pageMargins left="0.7" right="0.7" top="0.75" bottom="0.75" header="0.3" footer="0.3"/>
  <pageSetup paperSize="9" orientation="portrait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opLeftCell="C1" zoomScale="85" zoomScaleNormal="85" workbookViewId="0">
      <selection activeCell="J2" sqref="J2"/>
    </sheetView>
  </sheetViews>
  <sheetFormatPr defaultRowHeight="15.75" outlineLevelRow="1" x14ac:dyDescent="0.25"/>
  <cols>
    <col min="1" max="1" width="3.75" customWidth="1"/>
    <col min="2" max="2" width="21.125" customWidth="1"/>
    <col min="3" max="3" width="37.5" customWidth="1"/>
    <col min="4" max="4" width="14.125" customWidth="1"/>
    <col min="5" max="5" width="11.375" customWidth="1"/>
    <col min="6" max="7" width="8.125" customWidth="1"/>
    <col min="8" max="8" width="7.875" customWidth="1"/>
    <col min="10" max="10" width="16.25" bestFit="1" customWidth="1"/>
  </cols>
  <sheetData>
    <row r="1" spans="1:10" x14ac:dyDescent="0.25">
      <c r="A1" s="340" t="s">
        <v>19</v>
      </c>
      <c r="B1" s="340" t="s">
        <v>177</v>
      </c>
      <c r="C1" s="340" t="s">
        <v>178</v>
      </c>
      <c r="D1" s="340" t="s">
        <v>179</v>
      </c>
      <c r="E1" s="340" t="s">
        <v>180</v>
      </c>
      <c r="F1" s="340"/>
      <c r="G1" s="340"/>
      <c r="H1" s="340"/>
      <c r="I1" s="340"/>
    </row>
    <row r="2" spans="1:10" x14ac:dyDescent="0.25">
      <c r="A2" s="340"/>
      <c r="B2" s="340"/>
      <c r="C2" s="340"/>
      <c r="D2" s="340"/>
      <c r="E2" s="340" t="s">
        <v>181</v>
      </c>
      <c r="F2" s="340"/>
      <c r="G2" s="340"/>
      <c r="H2" s="340"/>
      <c r="I2" s="340" t="s">
        <v>182</v>
      </c>
    </row>
    <row r="3" spans="1:10" x14ac:dyDescent="0.25">
      <c r="A3" s="340"/>
      <c r="B3" s="340"/>
      <c r="C3" s="340"/>
      <c r="D3" s="340"/>
      <c r="E3" s="340" t="s">
        <v>183</v>
      </c>
      <c r="F3" s="340"/>
      <c r="G3" s="340"/>
      <c r="H3" s="340" t="s">
        <v>184</v>
      </c>
      <c r="I3" s="340"/>
    </row>
    <row r="4" spans="1:10" x14ac:dyDescent="0.25">
      <c r="A4" s="340"/>
      <c r="B4" s="340"/>
      <c r="C4" s="340"/>
      <c r="D4" s="340"/>
      <c r="E4" s="147">
        <v>2018</v>
      </c>
      <c r="F4" s="147">
        <v>2019</v>
      </c>
      <c r="G4" s="147">
        <v>2020</v>
      </c>
      <c r="H4" s="340"/>
      <c r="I4" s="340"/>
    </row>
    <row r="5" spans="1:10" ht="92.25" customHeight="1" x14ac:dyDescent="0.25">
      <c r="A5" s="56">
        <v>1</v>
      </c>
      <c r="B5" s="57" t="s">
        <v>105</v>
      </c>
      <c r="C5" s="352" t="s">
        <v>185</v>
      </c>
      <c r="D5" s="345" t="s">
        <v>186</v>
      </c>
      <c r="E5" s="155">
        <f>'пр к ПП2'!H15/1000</f>
        <v>112.57709299999999</v>
      </c>
      <c r="F5" s="155">
        <f>'пр к ПП2'!I15/1000</f>
        <v>112.57709299999999</v>
      </c>
      <c r="G5" s="155">
        <f>'пр к ПП2'!J15/1000</f>
        <v>112.57709299999999</v>
      </c>
      <c r="H5" s="155">
        <f t="shared" ref="H5:H12" si="0">SUM(E5:G5)</f>
        <v>337.73127899999997</v>
      </c>
      <c r="I5" s="56" t="s">
        <v>187</v>
      </c>
    </row>
    <row r="6" spans="1:10" ht="92.25" customHeight="1" x14ac:dyDescent="0.25">
      <c r="A6" s="168" t="s">
        <v>3</v>
      </c>
      <c r="B6" s="57" t="s">
        <v>252</v>
      </c>
      <c r="C6" s="353"/>
      <c r="D6" s="350"/>
      <c r="E6" s="155">
        <f>E5-E7</f>
        <v>100.88901973999999</v>
      </c>
      <c r="F6" s="155">
        <f t="shared" ref="F6:G6" si="1">F5-F7</f>
        <v>100.88901973999999</v>
      </c>
      <c r="G6" s="155">
        <f t="shared" si="1"/>
        <v>100.88901973999999</v>
      </c>
      <c r="H6" s="155">
        <f t="shared" si="0"/>
        <v>302.66705922</v>
      </c>
      <c r="I6" s="168" t="s">
        <v>187</v>
      </c>
    </row>
    <row r="7" spans="1:10" ht="92.25" customHeight="1" x14ac:dyDescent="0.25">
      <c r="A7" s="168" t="s">
        <v>84</v>
      </c>
      <c r="B7" s="57" t="s">
        <v>253</v>
      </c>
      <c r="C7" s="354"/>
      <c r="D7" s="346"/>
      <c r="E7" s="155">
        <f>(1688073.36+9999999.9)/1000000</f>
        <v>11.688073259999999</v>
      </c>
      <c r="F7" s="155">
        <f t="shared" ref="F7:G7" si="2">(1688073.36+9999999.9)/1000000</f>
        <v>11.688073259999999</v>
      </c>
      <c r="G7" s="155">
        <f t="shared" si="2"/>
        <v>11.688073259999999</v>
      </c>
      <c r="H7" s="155">
        <f t="shared" si="0"/>
        <v>35.064219780000002</v>
      </c>
      <c r="I7" s="168" t="s">
        <v>187</v>
      </c>
    </row>
    <row r="8" spans="1:10" ht="87" customHeight="1" x14ac:dyDescent="0.25">
      <c r="A8" s="340">
        <v>2</v>
      </c>
      <c r="B8" s="351" t="s">
        <v>106</v>
      </c>
      <c r="C8" s="58" t="s">
        <v>188</v>
      </c>
      <c r="D8" s="340" t="s">
        <v>186</v>
      </c>
      <c r="E8" s="155">
        <f>SUM(E9:E12)</f>
        <v>23.853501561414642</v>
      </c>
      <c r="F8" s="155">
        <f t="shared" ref="F8:G8" si="3">SUM(F9:F12)</f>
        <v>23.853501561414642</v>
      </c>
      <c r="G8" s="155">
        <f t="shared" si="3"/>
        <v>23.853501561414642</v>
      </c>
      <c r="H8" s="155">
        <f t="shared" si="0"/>
        <v>71.560504684243924</v>
      </c>
      <c r="I8" s="345" t="s">
        <v>187</v>
      </c>
    </row>
    <row r="9" spans="1:10" x14ac:dyDescent="0.25">
      <c r="A9" s="340"/>
      <c r="B9" s="351"/>
      <c r="C9" s="59" t="s">
        <v>190</v>
      </c>
      <c r="D9" s="340"/>
      <c r="E9" s="156">
        <f>J9/1000000</f>
        <v>18.31394842027715</v>
      </c>
      <c r="F9" s="156">
        <f>E9</f>
        <v>18.31394842027715</v>
      </c>
      <c r="G9" s="156">
        <f>F9</f>
        <v>18.31394842027715</v>
      </c>
      <c r="H9" s="156">
        <f t="shared" si="0"/>
        <v>54.94184526083145</v>
      </c>
      <c r="I9" s="350"/>
      <c r="J9" s="225">
        <v>18313948.420277148</v>
      </c>
    </row>
    <row r="10" spans="1:10" x14ac:dyDescent="0.25">
      <c r="A10" s="340"/>
      <c r="B10" s="351"/>
      <c r="C10" s="59" t="s">
        <v>191</v>
      </c>
      <c r="D10" s="340"/>
      <c r="E10" s="156">
        <f t="shared" ref="E10:E12" si="4">J10/1000000</f>
        <v>3.2322237667255029</v>
      </c>
      <c r="F10" s="156">
        <f t="shared" ref="F10:G12" si="5">E10</f>
        <v>3.2322237667255029</v>
      </c>
      <c r="G10" s="156">
        <f t="shared" si="5"/>
        <v>3.2322237667255029</v>
      </c>
      <c r="H10" s="156">
        <f t="shared" si="0"/>
        <v>9.6966713001765079</v>
      </c>
      <c r="I10" s="350"/>
      <c r="J10" s="225">
        <v>3232223.7667255029</v>
      </c>
    </row>
    <row r="11" spans="1:10" x14ac:dyDescent="0.25">
      <c r="A11" s="340"/>
      <c r="B11" s="351"/>
      <c r="C11" s="59" t="s">
        <v>192</v>
      </c>
      <c r="D11" s="340"/>
      <c r="E11" s="156">
        <f t="shared" si="4"/>
        <v>1.7207185929828479</v>
      </c>
      <c r="F11" s="156">
        <f t="shared" si="5"/>
        <v>1.7207185929828479</v>
      </c>
      <c r="G11" s="156">
        <f t="shared" si="5"/>
        <v>1.7207185929828479</v>
      </c>
      <c r="H11" s="156">
        <f t="shared" si="0"/>
        <v>5.1621557789485433</v>
      </c>
      <c r="I11" s="350"/>
      <c r="J11" s="225">
        <v>1720718.5929828479</v>
      </c>
    </row>
    <row r="12" spans="1:10" x14ac:dyDescent="0.25">
      <c r="A12" s="340"/>
      <c r="B12" s="351"/>
      <c r="C12" s="59" t="s">
        <v>189</v>
      </c>
      <c r="D12" s="340"/>
      <c r="E12" s="156">
        <f t="shared" si="4"/>
        <v>0.58661078142913992</v>
      </c>
      <c r="F12" s="156">
        <f t="shared" si="5"/>
        <v>0.58661078142913992</v>
      </c>
      <c r="G12" s="156">
        <f t="shared" si="5"/>
        <v>0.58661078142913992</v>
      </c>
      <c r="H12" s="156">
        <f t="shared" si="0"/>
        <v>1.7598323442874197</v>
      </c>
      <c r="I12" s="346"/>
      <c r="J12" s="225">
        <v>586610.7814291399</v>
      </c>
    </row>
    <row r="13" spans="1:10" ht="76.5" hidden="1" x14ac:dyDescent="0.25">
      <c r="A13" s="95">
        <v>3</v>
      </c>
      <c r="B13" s="96" t="e">
        <f>'пр к ПП2'!#REF!</f>
        <v>#REF!</v>
      </c>
      <c r="C13" s="57" t="s">
        <v>185</v>
      </c>
      <c r="D13" s="95" t="s">
        <v>221</v>
      </c>
      <c r="E13" s="156" t="e">
        <f>'пр к ПП2'!#REF!/1000</f>
        <v>#REF!</v>
      </c>
      <c r="F13" s="156" t="e">
        <f>'пр к ПП2'!#REF!/1000</f>
        <v>#REF!</v>
      </c>
      <c r="G13" s="156" t="e">
        <f>'пр к ПП2'!#REF!/1000</f>
        <v>#REF!</v>
      </c>
      <c r="H13" s="156" t="e">
        <f t="shared" ref="H13:H14" si="6">SUM(E13:G13)</f>
        <v>#REF!</v>
      </c>
      <c r="I13" s="95" t="s">
        <v>187</v>
      </c>
    </row>
    <row r="14" spans="1:10" ht="65.25" hidden="1" customHeight="1" outlineLevel="1" x14ac:dyDescent="0.25">
      <c r="A14" s="95">
        <v>3</v>
      </c>
      <c r="B14" s="96" t="str">
        <f>'пр к ПП2'!B20</f>
        <v>Создание условий для безопасности перевозок автомобильным, авиационным и речным транспортом</v>
      </c>
      <c r="C14" s="63" t="s">
        <v>195</v>
      </c>
      <c r="D14" s="95" t="s">
        <v>186</v>
      </c>
      <c r="E14" s="156">
        <f>'пр к ПП2'!H20/1000</f>
        <v>0</v>
      </c>
      <c r="F14" s="156">
        <f>'пр к ПП2'!I20/1000</f>
        <v>0</v>
      </c>
      <c r="G14" s="156">
        <f>'пр к ПП2'!J20/1000</f>
        <v>0</v>
      </c>
      <c r="H14" s="156">
        <f t="shared" si="6"/>
        <v>0</v>
      </c>
      <c r="I14" s="95" t="s">
        <v>187</v>
      </c>
    </row>
    <row r="15" spans="1:10" ht="140.25" hidden="1" outlineLevel="1" x14ac:dyDescent="0.25">
      <c r="A15" s="193">
        <v>4</v>
      </c>
      <c r="B15" s="194" t="str">
        <f>'пр к ПП2'!B22</f>
        <v>Расходы по межнавигационному отстою судов (припаромки), в части возмещения затрат ООО "Игарская стивидорная компания" по хранению двух причальных установок для самоходного парома в межнавигационный период 2016-2017 годов</v>
      </c>
      <c r="C15" s="63" t="s">
        <v>267</v>
      </c>
      <c r="D15" s="193" t="s">
        <v>186</v>
      </c>
      <c r="E15" s="156">
        <f>'пр к ПП2'!H22/1000</f>
        <v>0</v>
      </c>
      <c r="F15" s="156">
        <f>'пр к ПП2'!I22/1000</f>
        <v>0</v>
      </c>
      <c r="G15" s="156">
        <f>'пр к ПП2'!J22/1000</f>
        <v>0</v>
      </c>
      <c r="H15" s="156">
        <f>'пр к ПП2'!K22/1000</f>
        <v>0</v>
      </c>
      <c r="I15" s="193" t="s">
        <v>187</v>
      </c>
    </row>
    <row r="16" spans="1:10" s="62" customFormat="1" collapsed="1" x14ac:dyDescent="0.25">
      <c r="A16" s="60"/>
      <c r="B16" s="106" t="s">
        <v>223</v>
      </c>
      <c r="C16" s="61" t="s">
        <v>30</v>
      </c>
      <c r="D16" s="61" t="s">
        <v>30</v>
      </c>
      <c r="E16" s="157">
        <f>E5+E8+E15</f>
        <v>136.43059456141464</v>
      </c>
      <c r="F16" s="157">
        <f t="shared" ref="F16:H16" si="7">F5+F8+F15</f>
        <v>136.43059456141464</v>
      </c>
      <c r="G16" s="157">
        <f t="shared" si="7"/>
        <v>136.43059456141464</v>
      </c>
      <c r="H16" s="157">
        <f t="shared" si="7"/>
        <v>409.29178368424391</v>
      </c>
      <c r="I16" s="61" t="s">
        <v>30</v>
      </c>
    </row>
    <row r="19" spans="3:8" x14ac:dyDescent="0.25">
      <c r="C19" s="59"/>
      <c r="E19" s="224">
        <f>E16*1000-'пр к ПП2'!H27</f>
        <v>-8628.1994385853468</v>
      </c>
      <c r="F19" s="224">
        <f>F16*1000-'пр к ПП2'!I27</f>
        <v>-8628.1994385853468</v>
      </c>
      <c r="G19" s="224">
        <f>G16*1000-'пр к ПП2'!J27</f>
        <v>-8628.1994385853468</v>
      </c>
      <c r="H19" s="224">
        <f>H16*1000-'пр к ПП2'!K27</f>
        <v>-25884.598315756069</v>
      </c>
    </row>
  </sheetData>
  <mergeCells count="15">
    <mergeCell ref="A8:A12"/>
    <mergeCell ref="B8:B12"/>
    <mergeCell ref="D8:D12"/>
    <mergeCell ref="I8:I12"/>
    <mergeCell ref="A1:A4"/>
    <mergeCell ref="B1:B4"/>
    <mergeCell ref="C1:C4"/>
    <mergeCell ref="D1:D4"/>
    <mergeCell ref="E1:I1"/>
    <mergeCell ref="E2:H2"/>
    <mergeCell ref="I2:I4"/>
    <mergeCell ref="E3:G3"/>
    <mergeCell ref="H3:H4"/>
    <mergeCell ref="C5:C7"/>
    <mergeCell ref="D5:D7"/>
  </mergeCells>
  <pageMargins left="0.7" right="0.7" top="0.75" bottom="0.75" header="0.3" footer="0.3"/>
  <pageSetup paperSize="9" orientation="portrait" horizontalDpi="0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workbookViewId="0">
      <selection activeCell="J2" sqref="J2"/>
    </sheetView>
  </sheetViews>
  <sheetFormatPr defaultRowHeight="15.75" outlineLevelRow="1" x14ac:dyDescent="0.25"/>
  <cols>
    <col min="1" max="1" width="3.5" style="101" customWidth="1"/>
    <col min="2" max="2" width="20.375" customWidth="1"/>
    <col min="3" max="3" width="28" customWidth="1"/>
    <col min="4" max="4" width="10" customWidth="1"/>
    <col min="9" max="9" width="9" style="65"/>
  </cols>
  <sheetData>
    <row r="1" spans="1:9" x14ac:dyDescent="0.25">
      <c r="A1" s="359" t="s">
        <v>19</v>
      </c>
      <c r="B1" s="359" t="s">
        <v>177</v>
      </c>
      <c r="C1" s="359" t="s">
        <v>178</v>
      </c>
      <c r="D1" s="359" t="s">
        <v>179</v>
      </c>
      <c r="E1" s="359" t="s">
        <v>180</v>
      </c>
      <c r="F1" s="359"/>
      <c r="G1" s="359"/>
      <c r="H1" s="359"/>
      <c r="I1" s="359"/>
    </row>
    <row r="2" spans="1:9" x14ac:dyDescent="0.25">
      <c r="A2" s="359"/>
      <c r="B2" s="359"/>
      <c r="C2" s="359"/>
      <c r="D2" s="359"/>
      <c r="E2" s="359" t="s">
        <v>222</v>
      </c>
      <c r="F2" s="359"/>
      <c r="G2" s="359"/>
      <c r="H2" s="359"/>
      <c r="I2" s="359" t="s">
        <v>182</v>
      </c>
    </row>
    <row r="3" spans="1:9" x14ac:dyDescent="0.25">
      <c r="A3" s="359"/>
      <c r="B3" s="359"/>
      <c r="C3" s="359"/>
      <c r="D3" s="359"/>
      <c r="E3" s="359" t="s">
        <v>183</v>
      </c>
      <c r="F3" s="359"/>
      <c r="G3" s="359"/>
      <c r="H3" s="359" t="s">
        <v>184</v>
      </c>
      <c r="I3" s="359"/>
    </row>
    <row r="4" spans="1:9" x14ac:dyDescent="0.25">
      <c r="A4" s="359"/>
      <c r="B4" s="359"/>
      <c r="C4" s="359"/>
      <c r="D4" s="359"/>
      <c r="E4" s="168" t="str">
        <f>пп1!F4</f>
        <v>2020</v>
      </c>
      <c r="F4" s="240" t="str">
        <f>пп1!G4</f>
        <v>2021</v>
      </c>
      <c r="G4" s="240" t="str">
        <f>пп1!H4</f>
        <v>2022</v>
      </c>
      <c r="H4" s="359"/>
      <c r="I4" s="359"/>
    </row>
    <row r="5" spans="1:9" ht="72.75" hidden="1" customHeight="1" outlineLevel="1" x14ac:dyDescent="0.25">
      <c r="A5" s="172">
        <v>1</v>
      </c>
      <c r="B5" s="128" t="str">
        <f>'пр к ПП3'!B15</f>
        <v>Проведение мероприятий, направленных на обеспечение безопасного участия детей в дорожном движении</v>
      </c>
      <c r="C5" s="358" t="s">
        <v>225</v>
      </c>
      <c r="D5" s="359" t="s">
        <v>224</v>
      </c>
      <c r="E5" s="102">
        <f>E6+E7</f>
        <v>0</v>
      </c>
      <c r="F5" s="102">
        <f t="shared" ref="F5:G5" si="0">F6+F7</f>
        <v>0</v>
      </c>
      <c r="G5" s="102">
        <f t="shared" si="0"/>
        <v>0</v>
      </c>
      <c r="H5" s="102">
        <f>SUM(E5:G5)</f>
        <v>0</v>
      </c>
      <c r="I5" s="172"/>
    </row>
    <row r="6" spans="1:9" ht="101.25" hidden="1" customHeight="1" outlineLevel="1" x14ac:dyDescent="0.25">
      <c r="A6" s="172" t="s">
        <v>3</v>
      </c>
      <c r="B6" s="128" t="s">
        <v>239</v>
      </c>
      <c r="C6" s="358"/>
      <c r="D6" s="359"/>
      <c r="E6" s="102">
        <f>'пр к ПП3'!H15</f>
        <v>0</v>
      </c>
      <c r="F6" s="102">
        <f>'пр к ПП3'!I15</f>
        <v>0</v>
      </c>
      <c r="G6" s="102">
        <f>'пр к ПП3'!J15</f>
        <v>0</v>
      </c>
      <c r="H6" s="102">
        <f t="shared" ref="H6:H10" si="1">SUM(E6:G6)</f>
        <v>0</v>
      </c>
      <c r="I6" s="172" t="s">
        <v>194</v>
      </c>
    </row>
    <row r="7" spans="1:9" ht="93.75" hidden="1" customHeight="1" outlineLevel="1" x14ac:dyDescent="0.25">
      <c r="A7" s="172" t="s">
        <v>84</v>
      </c>
      <c r="B7" s="128" t="s">
        <v>240</v>
      </c>
      <c r="C7" s="358"/>
      <c r="D7" s="359"/>
      <c r="E7" s="102">
        <f>'пр к ПП3'!H16</f>
        <v>0</v>
      </c>
      <c r="F7" s="102">
        <f>'пр к ПП3'!I16</f>
        <v>0</v>
      </c>
      <c r="G7" s="102">
        <f>'пр к ПП3'!J16</f>
        <v>0</v>
      </c>
      <c r="H7" s="102">
        <f t="shared" si="1"/>
        <v>0</v>
      </c>
      <c r="I7" s="172" t="s">
        <v>187</v>
      </c>
    </row>
    <row r="8" spans="1:9" ht="38.25" customHeight="1" collapsed="1" x14ac:dyDescent="0.25">
      <c r="A8" s="355">
        <v>1</v>
      </c>
      <c r="B8" s="355" t="str">
        <f>'пр к ПП3'!B18</f>
        <v>Расходы на реализацию мероприятий, направленных на повышение безопасности дорожного движения, за счет средств дорожного фонда Красноярского края</v>
      </c>
      <c r="C8" s="128" t="s">
        <v>193</v>
      </c>
      <c r="D8" s="355" t="s">
        <v>55</v>
      </c>
      <c r="E8" s="104">
        <f>E9+E10</f>
        <v>220.5</v>
      </c>
      <c r="F8" s="104">
        <f>'пр к ПП3'!I18</f>
        <v>0</v>
      </c>
      <c r="G8" s="104">
        <f>'пр к ПП3'!J18</f>
        <v>0</v>
      </c>
      <c r="H8" s="102">
        <f t="shared" si="1"/>
        <v>220.5</v>
      </c>
      <c r="I8" s="355" t="s">
        <v>194</v>
      </c>
    </row>
    <row r="9" spans="1:9" ht="30.75" customHeight="1" x14ac:dyDescent="0.25">
      <c r="A9" s="356"/>
      <c r="B9" s="356"/>
      <c r="C9" s="242" t="s">
        <v>191</v>
      </c>
      <c r="D9" s="356"/>
      <c r="E9" s="104">
        <v>88.2</v>
      </c>
      <c r="F9" s="104"/>
      <c r="G9" s="104"/>
      <c r="H9" s="102">
        <f t="shared" si="1"/>
        <v>88.2</v>
      </c>
      <c r="I9" s="356"/>
    </row>
    <row r="10" spans="1:9" ht="25.5" x14ac:dyDescent="0.25">
      <c r="A10" s="357"/>
      <c r="B10" s="357"/>
      <c r="C10" s="242" t="s">
        <v>190</v>
      </c>
      <c r="D10" s="357"/>
      <c r="E10" s="104">
        <v>132.30000000000001</v>
      </c>
      <c r="F10" s="104"/>
      <c r="G10" s="104"/>
      <c r="H10" s="102">
        <f t="shared" si="1"/>
        <v>132.30000000000001</v>
      </c>
      <c r="I10" s="357"/>
    </row>
    <row r="11" spans="1:9" ht="102" x14ac:dyDescent="0.25">
      <c r="A11" s="173">
        <v>2</v>
      </c>
      <c r="B11" s="153" t="str">
        <f>'пр к ПП3'!B20</f>
        <v>Расходы бюджетов муниципальных образований на проведение мероприятий по формированию законопослушного поведения участников дорожного движения</v>
      </c>
      <c r="C11" s="174" t="s">
        <v>260</v>
      </c>
      <c r="D11" s="173" t="s">
        <v>262</v>
      </c>
      <c r="E11" s="104">
        <v>0</v>
      </c>
      <c r="F11" s="104">
        <v>0</v>
      </c>
      <c r="G11" s="104">
        <v>0</v>
      </c>
      <c r="H11" s="102">
        <v>0</v>
      </c>
      <c r="I11" s="173" t="s">
        <v>263</v>
      </c>
    </row>
    <row r="12" spans="1:9" s="62" customFormat="1" x14ac:dyDescent="0.25">
      <c r="A12" s="105"/>
      <c r="B12" s="106" t="s">
        <v>223</v>
      </c>
      <c r="C12" s="105" t="s">
        <v>30</v>
      </c>
      <c r="D12" s="105" t="s">
        <v>30</v>
      </c>
      <c r="E12" s="107">
        <f>E5+E8</f>
        <v>220.5</v>
      </c>
      <c r="F12" s="107">
        <f t="shared" ref="F12:H12" si="2">F5+F8</f>
        <v>0</v>
      </c>
      <c r="G12" s="107">
        <f t="shared" si="2"/>
        <v>0</v>
      </c>
      <c r="H12" s="107">
        <f t="shared" si="2"/>
        <v>220.5</v>
      </c>
      <c r="I12" s="105" t="s">
        <v>30</v>
      </c>
    </row>
    <row r="14" spans="1:9" x14ac:dyDescent="0.25">
      <c r="E14" s="184">
        <f>'пр к ПП3'!H22</f>
        <v>0</v>
      </c>
      <c r="F14" s="160">
        <f>'пр к ПП3'!I22</f>
        <v>0</v>
      </c>
      <c r="G14" s="160">
        <f>'пр к ПП3'!J22</f>
        <v>0</v>
      </c>
      <c r="H14">
        <f t="shared" ref="H14" si="3">SUM(E14:G14)</f>
        <v>0</v>
      </c>
    </row>
    <row r="15" spans="1:9" x14ac:dyDescent="0.25">
      <c r="E15" t="b">
        <f>E14=E8</f>
        <v>0</v>
      </c>
      <c r="F15" t="b">
        <f t="shared" ref="F15:G15" si="4">F14=F8</f>
        <v>1</v>
      </c>
      <c r="G15" t="b">
        <f t="shared" si="4"/>
        <v>1</v>
      </c>
      <c r="H15" t="b">
        <f>H14=H8</f>
        <v>0</v>
      </c>
    </row>
  </sheetData>
  <mergeCells count="15">
    <mergeCell ref="A1:A4"/>
    <mergeCell ref="B1:B4"/>
    <mergeCell ref="C1:C4"/>
    <mergeCell ref="D1:D4"/>
    <mergeCell ref="E1:I1"/>
    <mergeCell ref="E2:H2"/>
    <mergeCell ref="I2:I4"/>
    <mergeCell ref="E3:G3"/>
    <mergeCell ref="H3:H4"/>
    <mergeCell ref="A8:A10"/>
    <mergeCell ref="B8:B10"/>
    <mergeCell ref="D8:D10"/>
    <mergeCell ref="I8:I10"/>
    <mergeCell ref="C5:C7"/>
    <mergeCell ref="D5:D7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view="pageBreakPreview" zoomScale="115" zoomScaleNormal="85" zoomScaleSheetLayoutView="115" workbookViewId="0">
      <selection activeCell="J2" sqref="J2"/>
    </sheetView>
  </sheetViews>
  <sheetFormatPr defaultRowHeight="15.75" x14ac:dyDescent="0.25"/>
  <cols>
    <col min="2" max="2" width="17.375" customWidth="1"/>
    <col min="3" max="3" width="21.375" customWidth="1"/>
    <col min="5" max="7" width="6.625" customWidth="1"/>
  </cols>
  <sheetData>
    <row r="1" spans="1:9" x14ac:dyDescent="0.25">
      <c r="A1" s="359" t="s">
        <v>19</v>
      </c>
      <c r="B1" s="359" t="s">
        <v>177</v>
      </c>
      <c r="C1" s="359" t="s">
        <v>178</v>
      </c>
      <c r="D1" s="359" t="s">
        <v>179</v>
      </c>
      <c r="E1" s="359" t="s">
        <v>180</v>
      </c>
      <c r="F1" s="359"/>
      <c r="G1" s="359"/>
      <c r="H1" s="359"/>
      <c r="I1" s="359"/>
    </row>
    <row r="2" spans="1:9" x14ac:dyDescent="0.25">
      <c r="A2" s="359"/>
      <c r="B2" s="359"/>
      <c r="C2" s="359"/>
      <c r="D2" s="359"/>
      <c r="E2" s="359" t="s">
        <v>222</v>
      </c>
      <c r="F2" s="359"/>
      <c r="G2" s="359"/>
      <c r="H2" s="359"/>
      <c r="I2" s="359" t="s">
        <v>182</v>
      </c>
    </row>
    <row r="3" spans="1:9" x14ac:dyDescent="0.25">
      <c r="A3" s="359"/>
      <c r="B3" s="359"/>
      <c r="C3" s="359"/>
      <c r="D3" s="359"/>
      <c r="E3" s="359" t="s">
        <v>183</v>
      </c>
      <c r="F3" s="359"/>
      <c r="G3" s="359"/>
      <c r="H3" s="359" t="s">
        <v>184</v>
      </c>
      <c r="I3" s="359"/>
    </row>
    <row r="4" spans="1:9" x14ac:dyDescent="0.25">
      <c r="A4" s="359"/>
      <c r="B4" s="359"/>
      <c r="C4" s="359"/>
      <c r="D4" s="359"/>
      <c r="E4" s="168">
        <v>2018</v>
      </c>
      <c r="F4" s="168">
        <v>2019</v>
      </c>
      <c r="G4" s="168">
        <v>2020</v>
      </c>
      <c r="H4" s="359"/>
      <c r="I4" s="359"/>
    </row>
    <row r="5" spans="1:9" ht="178.5" customHeight="1" x14ac:dyDescent="0.25">
      <c r="A5" s="172">
        <v>1</v>
      </c>
      <c r="B5" s="177" t="s">
        <v>241</v>
      </c>
      <c r="C5" s="128" t="s">
        <v>225</v>
      </c>
      <c r="D5" s="172" t="s">
        <v>186</v>
      </c>
      <c r="E5" s="103">
        <f>'пр к ПП4'!H15/1000</f>
        <v>10.6</v>
      </c>
      <c r="F5" s="103">
        <f>'пр к ПП4'!I15/1000</f>
        <v>10.6</v>
      </c>
      <c r="G5" s="103">
        <f>'пр к ПП4'!J15/1000</f>
        <v>10.6</v>
      </c>
      <c r="H5" s="102">
        <f t="shared" ref="H5" si="0">SUM(E5:G5)</f>
        <v>31.799999999999997</v>
      </c>
      <c r="I5" s="172" t="s">
        <v>187</v>
      </c>
    </row>
    <row r="6" spans="1:9" ht="106.5" customHeight="1" x14ac:dyDescent="0.25">
      <c r="A6" s="360">
        <v>2</v>
      </c>
      <c r="B6" s="179" t="str">
        <f>'пр к ПП4'!B17</f>
        <v>Создание условий для развития услуг связи в малочисленных и труднодоступных населенных пунктах Красноярского края Туруханского района</v>
      </c>
      <c r="C6" s="361" t="s">
        <v>195</v>
      </c>
      <c r="D6" s="340" t="s">
        <v>186</v>
      </c>
      <c r="E6" s="176">
        <f>E7+E8</f>
        <v>0</v>
      </c>
      <c r="F6" s="182">
        <f t="shared" ref="F6:H6" si="1">F7+F8</f>
        <v>0</v>
      </c>
      <c r="G6" s="182">
        <f t="shared" si="1"/>
        <v>0</v>
      </c>
      <c r="H6" s="176">
        <f t="shared" si="1"/>
        <v>0</v>
      </c>
      <c r="I6" s="175"/>
    </row>
    <row r="7" spans="1:9" ht="25.5" x14ac:dyDescent="0.25">
      <c r="A7" s="360"/>
      <c r="B7" s="180" t="s">
        <v>254</v>
      </c>
      <c r="C7" s="361"/>
      <c r="D7" s="340"/>
      <c r="E7" s="168">
        <f>'пр к ПП4'!H17/1000</f>
        <v>0</v>
      </c>
      <c r="F7" s="182">
        <v>0</v>
      </c>
      <c r="G7" s="182">
        <v>0</v>
      </c>
      <c r="H7" s="168">
        <f>'пр к ПП4'!K17/1000</f>
        <v>0</v>
      </c>
      <c r="I7" s="168" t="s">
        <v>194</v>
      </c>
    </row>
    <row r="8" spans="1:9" ht="25.5" x14ac:dyDescent="0.25">
      <c r="A8" s="360"/>
      <c r="B8" s="181"/>
      <c r="C8" s="361"/>
      <c r="D8" s="340"/>
      <c r="E8" s="176">
        <f>'пр к ПП4'!H18/1000</f>
        <v>0</v>
      </c>
      <c r="F8" s="182">
        <v>0</v>
      </c>
      <c r="G8" s="182">
        <v>0</v>
      </c>
      <c r="H8" s="176">
        <f>'пр к ПП4'!K18/1000</f>
        <v>0</v>
      </c>
      <c r="I8" s="168" t="s">
        <v>187</v>
      </c>
    </row>
    <row r="9" spans="1:9" ht="25.5" x14ac:dyDescent="0.25">
      <c r="A9" s="105"/>
      <c r="B9" s="178" t="s">
        <v>223</v>
      </c>
      <c r="C9" s="105" t="s">
        <v>30</v>
      </c>
      <c r="D9" s="105" t="s">
        <v>30</v>
      </c>
      <c r="E9" s="107">
        <f>E5+E6</f>
        <v>10.6</v>
      </c>
      <c r="F9" s="107">
        <f t="shared" ref="F9:H9" si="2">F5+F6</f>
        <v>10.6</v>
      </c>
      <c r="G9" s="107">
        <f t="shared" si="2"/>
        <v>10.6</v>
      </c>
      <c r="H9" s="107">
        <f t="shared" si="2"/>
        <v>31.799999999999997</v>
      </c>
      <c r="I9" s="105" t="s">
        <v>30</v>
      </c>
    </row>
  </sheetData>
  <mergeCells count="12">
    <mergeCell ref="E1:I1"/>
    <mergeCell ref="E2:H2"/>
    <mergeCell ref="I2:I4"/>
    <mergeCell ref="E3:G3"/>
    <mergeCell ref="H3:H4"/>
    <mergeCell ref="A6:A8"/>
    <mergeCell ref="C6:C8"/>
    <mergeCell ref="D6:D8"/>
    <mergeCell ref="A1:A4"/>
    <mergeCell ref="B1:B4"/>
    <mergeCell ref="C1:C4"/>
    <mergeCell ref="D1:D4"/>
  </mergeCells>
  <pageMargins left="0.7" right="0.7" top="0.75" bottom="0.75" header="0.3" footer="0.3"/>
  <pageSetup paperSize="9" scale="80"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6"/>
  <sheetViews>
    <sheetView view="pageBreakPreview" topLeftCell="A4" zoomScale="85" zoomScaleNormal="70" zoomScaleSheetLayoutView="85" workbookViewId="0">
      <selection activeCell="A15" sqref="A15:H15"/>
    </sheetView>
  </sheetViews>
  <sheetFormatPr defaultRowHeight="15.75" x14ac:dyDescent="0.25"/>
  <cols>
    <col min="1" max="1" width="4.75" style="4" customWidth="1"/>
    <col min="2" max="2" width="43.5" style="1" customWidth="1"/>
    <col min="3" max="3" width="10.5" style="4" customWidth="1"/>
    <col min="4" max="4" width="14.875" style="1" customWidth="1"/>
    <col min="5" max="5" width="12.875" style="1" customWidth="1"/>
    <col min="6" max="6" width="14.375" style="1" customWidth="1"/>
    <col min="7" max="7" width="13" style="1" customWidth="1"/>
    <col min="8" max="8" width="12" style="1" customWidth="1"/>
    <col min="9" max="16384" width="9" style="1"/>
  </cols>
  <sheetData>
    <row r="1" spans="1:8" ht="81" hidden="1" customHeight="1" x14ac:dyDescent="0.25">
      <c r="F1" s="274"/>
      <c r="G1" s="274"/>
      <c r="H1" s="274"/>
    </row>
    <row r="2" spans="1:8" hidden="1" x14ac:dyDescent="0.25"/>
    <row r="3" spans="1:8" hidden="1" x14ac:dyDescent="0.25"/>
    <row r="4" spans="1:8" ht="130.5" customHeight="1" x14ac:dyDescent="0.25">
      <c r="F4" s="275" t="s">
        <v>202</v>
      </c>
      <c r="G4" s="275"/>
      <c r="H4" s="275"/>
    </row>
    <row r="5" spans="1:8" ht="18.75" x14ac:dyDescent="0.25">
      <c r="A5" s="10"/>
    </row>
    <row r="6" spans="1:8" ht="18.75" x14ac:dyDescent="0.25">
      <c r="A6" s="10"/>
    </row>
    <row r="7" spans="1:8" ht="18.75" x14ac:dyDescent="0.25">
      <c r="A7" s="278" t="s">
        <v>1</v>
      </c>
      <c r="B7" s="278"/>
      <c r="C7" s="278"/>
      <c r="D7" s="278"/>
      <c r="E7" s="278"/>
      <c r="F7" s="278"/>
      <c r="G7" s="278"/>
      <c r="H7" s="278"/>
    </row>
    <row r="8" spans="1:8" ht="18.75" x14ac:dyDescent="0.25">
      <c r="A8" s="289" t="s">
        <v>97</v>
      </c>
      <c r="B8" s="278"/>
      <c r="C8" s="278"/>
      <c r="D8" s="278"/>
      <c r="E8" s="278"/>
      <c r="F8" s="278"/>
      <c r="G8" s="278"/>
      <c r="H8" s="278"/>
    </row>
    <row r="9" spans="1:8" ht="36" customHeight="1" x14ac:dyDescent="0.25">
      <c r="A9" s="289" t="s">
        <v>96</v>
      </c>
      <c r="B9" s="278"/>
      <c r="C9" s="278"/>
      <c r="D9" s="278"/>
      <c r="E9" s="278"/>
      <c r="F9" s="278"/>
      <c r="G9" s="278"/>
      <c r="H9" s="278"/>
    </row>
    <row r="10" spans="1:8" ht="13.5" customHeight="1" x14ac:dyDescent="0.25">
      <c r="A10" s="10"/>
    </row>
    <row r="11" spans="1:8" x14ac:dyDescent="0.25">
      <c r="A11" s="279" t="s">
        <v>19</v>
      </c>
      <c r="B11" s="279" t="s">
        <v>46</v>
      </c>
      <c r="C11" s="279" t="s">
        <v>2</v>
      </c>
      <c r="D11" s="279" t="s">
        <v>47</v>
      </c>
      <c r="E11" s="279" t="s">
        <v>48</v>
      </c>
      <c r="F11" s="279"/>
      <c r="G11" s="279"/>
      <c r="H11" s="279"/>
    </row>
    <row r="12" spans="1:8" x14ac:dyDescent="0.25">
      <c r="A12" s="279"/>
      <c r="B12" s="279"/>
      <c r="C12" s="279"/>
      <c r="D12" s="279"/>
      <c r="E12" s="197">
        <v>2019</v>
      </c>
      <c r="F12" s="197">
        <v>2020</v>
      </c>
      <c r="G12" s="197">
        <v>2021</v>
      </c>
      <c r="H12" s="197">
        <v>2022</v>
      </c>
    </row>
    <row r="13" spans="1:8" x14ac:dyDescent="0.25">
      <c r="A13" s="88">
        <v>1</v>
      </c>
      <c r="B13" s="88">
        <v>2</v>
      </c>
      <c r="C13" s="88">
        <v>3</v>
      </c>
      <c r="D13" s="88">
        <v>4</v>
      </c>
      <c r="E13" s="88">
        <v>5</v>
      </c>
      <c r="F13" s="88">
        <v>6</v>
      </c>
      <c r="G13" s="88">
        <v>7</v>
      </c>
      <c r="H13" s="88">
        <v>8</v>
      </c>
    </row>
    <row r="14" spans="1:8" ht="50.25" customHeight="1" x14ac:dyDescent="0.25">
      <c r="A14" s="288" t="str">
        <f>'пр к ПП1'!A13:L13</f>
        <v>Цель. Совершенствование улично-дорожной сети, автомобильных дорог и дорожных сооружений местного значения, обеспечение их транспортно-эксплуатационных показателей на уровне, необходимом для удовлетворения потребностей пользователей автодорог.</v>
      </c>
      <c r="B14" s="288"/>
      <c r="C14" s="288"/>
      <c r="D14" s="288"/>
      <c r="E14" s="288"/>
      <c r="F14" s="288"/>
      <c r="G14" s="288"/>
      <c r="H14" s="288"/>
    </row>
    <row r="15" spans="1:8" ht="33" customHeight="1" x14ac:dyDescent="0.25">
      <c r="A15" s="288" t="str">
        <f>'пр к ПП1'!A14:L14</f>
        <v>Задача 1. Улучшение технического состояния существующей улично-дорожной сети и автомобильных дорог местного значения.</v>
      </c>
      <c r="B15" s="288"/>
      <c r="C15" s="288"/>
      <c r="D15" s="288"/>
      <c r="E15" s="288"/>
      <c r="F15" s="288"/>
      <c r="G15" s="288"/>
      <c r="H15" s="288"/>
    </row>
    <row r="16" spans="1:8" ht="47.25" x14ac:dyDescent="0.25">
      <c r="A16" s="91" t="s">
        <v>3</v>
      </c>
      <c r="B16" s="90" t="s">
        <v>69</v>
      </c>
      <c r="C16" s="91" t="s">
        <v>70</v>
      </c>
      <c r="D16" s="91" t="s">
        <v>71</v>
      </c>
      <c r="E16" s="223">
        <v>2.6789999999999998</v>
      </c>
      <c r="F16" s="223">
        <f>E16</f>
        <v>2.6789999999999998</v>
      </c>
      <c r="G16" s="223">
        <f>F16</f>
        <v>2.6789999999999998</v>
      </c>
      <c r="H16" s="223">
        <f>G16</f>
        <v>2.6789999999999998</v>
      </c>
    </row>
    <row r="17" spans="1:11" ht="47.25" x14ac:dyDescent="0.25">
      <c r="A17" s="91" t="s">
        <v>84</v>
      </c>
      <c r="B17" s="90" t="s">
        <v>72</v>
      </c>
      <c r="C17" s="91" t="s">
        <v>70</v>
      </c>
      <c r="D17" s="91" t="s">
        <v>73</v>
      </c>
      <c r="E17" s="220">
        <v>273.60000000000002</v>
      </c>
      <c r="F17" s="220">
        <f t="shared" ref="F17:F18" si="0">E17</f>
        <v>273.60000000000002</v>
      </c>
      <c r="G17" s="220">
        <f t="shared" ref="G17:H18" si="1">F17</f>
        <v>273.60000000000002</v>
      </c>
      <c r="H17" s="220">
        <f t="shared" si="1"/>
        <v>273.60000000000002</v>
      </c>
    </row>
    <row r="18" spans="1:11" ht="31.5" x14ac:dyDescent="0.25">
      <c r="A18" s="91" t="s">
        <v>86</v>
      </c>
      <c r="B18" s="90" t="s">
        <v>76</v>
      </c>
      <c r="C18" s="91" t="s">
        <v>74</v>
      </c>
      <c r="D18" s="91" t="s">
        <v>75</v>
      </c>
      <c r="E18" s="222">
        <v>1</v>
      </c>
      <c r="F18" s="222">
        <f t="shared" si="0"/>
        <v>1</v>
      </c>
      <c r="G18" s="222">
        <f t="shared" si="1"/>
        <v>1</v>
      </c>
      <c r="H18" s="222">
        <f t="shared" si="1"/>
        <v>1</v>
      </c>
    </row>
    <row r="19" spans="1:11" ht="18.75" x14ac:dyDescent="0.25">
      <c r="A19" s="10"/>
    </row>
    <row r="20" spans="1:11" ht="18.75" x14ac:dyDescent="0.25">
      <c r="A20" s="10"/>
    </row>
    <row r="21" spans="1:11" ht="18.75" x14ac:dyDescent="0.25">
      <c r="A21" s="10"/>
    </row>
    <row r="22" spans="1:11" x14ac:dyDescent="0.25">
      <c r="K22" s="1">
        <v>3000</v>
      </c>
    </row>
    <row r="23" spans="1:11" x14ac:dyDescent="0.25">
      <c r="K23" s="1">
        <v>300</v>
      </c>
    </row>
    <row r="24" spans="1:11" x14ac:dyDescent="0.25">
      <c r="K24" s="1">
        <v>17650.099999999999</v>
      </c>
    </row>
    <row r="25" spans="1:11" x14ac:dyDescent="0.25">
      <c r="K25" s="1">
        <v>530</v>
      </c>
    </row>
    <row r="26" spans="1:11" x14ac:dyDescent="0.25">
      <c r="K26" s="1">
        <f>SUM(K22:K25)</f>
        <v>21480.1</v>
      </c>
    </row>
  </sheetData>
  <mergeCells count="12">
    <mergeCell ref="F1:H1"/>
    <mergeCell ref="A15:H15"/>
    <mergeCell ref="F4:H4"/>
    <mergeCell ref="A14:H14"/>
    <mergeCell ref="A7:H7"/>
    <mergeCell ref="A8:H8"/>
    <mergeCell ref="A11:A12"/>
    <mergeCell ref="B11:B12"/>
    <mergeCell ref="C11:C12"/>
    <mergeCell ref="D11:D12"/>
    <mergeCell ref="E11:H11"/>
    <mergeCell ref="A9:H9"/>
  </mergeCells>
  <pageMargins left="0.78740157480314965" right="0.78740157480314965" top="1.1811023622047245" bottom="0.39370078740157483" header="0.31496062992125984" footer="0.31496062992125984"/>
  <pageSetup paperSize="9" scale="9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N43"/>
  <sheetViews>
    <sheetView view="pageBreakPreview" topLeftCell="A13" zoomScale="70" zoomScaleNormal="55" zoomScaleSheetLayoutView="70" workbookViewId="0">
      <selection activeCell="B27" sqref="B27:B28"/>
    </sheetView>
  </sheetViews>
  <sheetFormatPr defaultRowHeight="18.75" outlineLevelRow="1" x14ac:dyDescent="0.25"/>
  <cols>
    <col min="1" max="1" width="4.75" style="192" customWidth="1"/>
    <col min="2" max="2" width="49.625" style="22" customWidth="1"/>
    <col min="3" max="3" width="25.125" style="22" customWidth="1"/>
    <col min="4" max="5" width="7.375" style="22" customWidth="1"/>
    <col min="6" max="6" width="17.75" style="22" customWidth="1"/>
    <col min="7" max="7" width="5.75" style="22" customWidth="1"/>
    <col min="8" max="8" width="14.875" style="22" bestFit="1" customWidth="1"/>
    <col min="9" max="10" width="13.75" style="22" bestFit="1" customWidth="1"/>
    <col min="11" max="11" width="20" style="22" customWidth="1"/>
    <col min="12" max="12" width="24.5" style="22" customWidth="1"/>
    <col min="13" max="13" width="57.625" style="22" customWidth="1"/>
    <col min="14" max="14" width="24" style="22" customWidth="1"/>
    <col min="15" max="16384" width="9" style="22"/>
  </cols>
  <sheetData>
    <row r="1" spans="1:12" ht="84" hidden="1" customHeight="1" outlineLevel="1" x14ac:dyDescent="0.3">
      <c r="K1" s="296" t="s">
        <v>255</v>
      </c>
      <c r="L1" s="296"/>
    </row>
    <row r="2" spans="1:12" hidden="1" outlineLevel="1" x14ac:dyDescent="0.25"/>
    <row r="3" spans="1:12" hidden="1" outlineLevel="1" x14ac:dyDescent="0.25"/>
    <row r="4" spans="1:12" ht="121.5" customHeight="1" collapsed="1" x14ac:dyDescent="0.25">
      <c r="K4" s="297" t="s">
        <v>203</v>
      </c>
      <c r="L4" s="297"/>
    </row>
    <row r="7" spans="1:12" x14ac:dyDescent="0.25">
      <c r="A7" s="300" t="s">
        <v>1</v>
      </c>
      <c r="B7" s="300"/>
      <c r="C7" s="300"/>
      <c r="D7" s="300"/>
      <c r="E7" s="300"/>
      <c r="F7" s="300"/>
      <c r="G7" s="300"/>
      <c r="H7" s="300"/>
      <c r="I7" s="300"/>
      <c r="J7" s="300"/>
      <c r="K7" s="300"/>
      <c r="L7" s="300"/>
    </row>
    <row r="8" spans="1:12" x14ac:dyDescent="0.25">
      <c r="A8" s="300" t="s">
        <v>63</v>
      </c>
      <c r="B8" s="300"/>
      <c r="C8" s="300"/>
      <c r="D8" s="300"/>
      <c r="E8" s="300"/>
      <c r="F8" s="300"/>
      <c r="G8" s="300"/>
      <c r="H8" s="300"/>
      <c r="I8" s="300"/>
      <c r="J8" s="300"/>
      <c r="K8" s="300"/>
      <c r="L8" s="300"/>
    </row>
    <row r="10" spans="1:12" ht="42.75" customHeight="1" x14ac:dyDescent="0.25">
      <c r="A10" s="285" t="s">
        <v>19</v>
      </c>
      <c r="B10" s="285" t="s">
        <v>49</v>
      </c>
      <c r="C10" s="285" t="s">
        <v>226</v>
      </c>
      <c r="D10" s="285" t="s">
        <v>23</v>
      </c>
      <c r="E10" s="285"/>
      <c r="F10" s="285"/>
      <c r="G10" s="285"/>
      <c r="H10" s="285" t="s">
        <v>50</v>
      </c>
      <c r="I10" s="285"/>
      <c r="J10" s="285"/>
      <c r="K10" s="285"/>
      <c r="L10" s="285" t="s">
        <v>51</v>
      </c>
    </row>
    <row r="11" spans="1:12" ht="77.25" customHeight="1" x14ac:dyDescent="0.25">
      <c r="A11" s="285"/>
      <c r="B11" s="285"/>
      <c r="C11" s="285"/>
      <c r="D11" s="191" t="s">
        <v>25</v>
      </c>
      <c r="E11" s="191" t="s">
        <v>26</v>
      </c>
      <c r="F11" s="191" t="s">
        <v>27</v>
      </c>
      <c r="G11" s="191" t="s">
        <v>28</v>
      </c>
      <c r="H11" s="204">
        <f>'пр 7 к МП'!K$16</f>
        <v>2020</v>
      </c>
      <c r="I11" s="204">
        <f>'пр 7 к МП'!L$16</f>
        <v>2021</v>
      </c>
      <c r="J11" s="204">
        <f>'пр 7 к МП'!M$16</f>
        <v>2022</v>
      </c>
      <c r="K11" s="191" t="s">
        <v>52</v>
      </c>
      <c r="L11" s="285"/>
    </row>
    <row r="12" spans="1:12" x14ac:dyDescent="0.25">
      <c r="A12" s="191">
        <v>1</v>
      </c>
      <c r="B12" s="191">
        <v>2</v>
      </c>
      <c r="C12" s="191">
        <v>3</v>
      </c>
      <c r="D12" s="191">
        <v>4</v>
      </c>
      <c r="E12" s="191">
        <v>5</v>
      </c>
      <c r="F12" s="191">
        <v>6</v>
      </c>
      <c r="G12" s="191">
        <v>7</v>
      </c>
      <c r="H12" s="191">
        <v>8</v>
      </c>
      <c r="I12" s="191">
        <v>9</v>
      </c>
      <c r="J12" s="191">
        <v>10</v>
      </c>
      <c r="K12" s="191">
        <v>11</v>
      </c>
      <c r="L12" s="191">
        <v>12</v>
      </c>
    </row>
    <row r="13" spans="1:12" s="115" customFormat="1" ht="41.25" customHeight="1" x14ac:dyDescent="0.25">
      <c r="A13" s="301" t="s">
        <v>168</v>
      </c>
      <c r="B13" s="301"/>
      <c r="C13" s="301"/>
      <c r="D13" s="301"/>
      <c r="E13" s="301"/>
      <c r="F13" s="301"/>
      <c r="G13" s="301"/>
      <c r="H13" s="301"/>
      <c r="I13" s="301"/>
      <c r="J13" s="301"/>
      <c r="K13" s="301"/>
      <c r="L13" s="301"/>
    </row>
    <row r="14" spans="1:12" s="115" customFormat="1" ht="19.5" customHeight="1" x14ac:dyDescent="0.25">
      <c r="A14" s="301" t="s">
        <v>169</v>
      </c>
      <c r="B14" s="301"/>
      <c r="C14" s="301"/>
      <c r="D14" s="301"/>
      <c r="E14" s="301"/>
      <c r="F14" s="301"/>
      <c r="G14" s="301"/>
      <c r="H14" s="301"/>
      <c r="I14" s="301"/>
      <c r="J14" s="301"/>
      <c r="K14" s="301"/>
      <c r="L14" s="301"/>
    </row>
    <row r="15" spans="1:12" ht="63" x14ac:dyDescent="0.25">
      <c r="A15" s="302" t="s">
        <v>3</v>
      </c>
      <c r="B15" s="292" t="s">
        <v>220</v>
      </c>
      <c r="C15" s="238" t="s">
        <v>66</v>
      </c>
      <c r="D15" s="239">
        <v>247</v>
      </c>
      <c r="E15" s="239" t="s">
        <v>62</v>
      </c>
      <c r="F15" s="141" t="s">
        <v>227</v>
      </c>
      <c r="G15" s="255">
        <v>540</v>
      </c>
      <c r="H15" s="262">
        <v>26370.2</v>
      </c>
      <c r="I15" s="262">
        <v>28467.1</v>
      </c>
      <c r="J15" s="262">
        <v>29605.784</v>
      </c>
      <c r="K15" s="75">
        <f t="shared" ref="K15:K23" si="0">SUM(H15:J15)</f>
        <v>84443.084000000003</v>
      </c>
      <c r="L15" s="290" t="s">
        <v>134</v>
      </c>
    </row>
    <row r="16" spans="1:12" x14ac:dyDescent="0.25">
      <c r="A16" s="303"/>
      <c r="B16" s="293"/>
      <c r="C16" s="126" t="s">
        <v>270</v>
      </c>
      <c r="D16" s="126" t="s">
        <v>30</v>
      </c>
      <c r="E16" s="126" t="s">
        <v>30</v>
      </c>
      <c r="F16" s="126" t="s">
        <v>30</v>
      </c>
      <c r="G16" s="121" t="s">
        <v>30</v>
      </c>
      <c r="H16" s="127">
        <f t="shared" ref="H16" si="1">H15</f>
        <v>26370.2</v>
      </c>
      <c r="I16" s="127">
        <f t="shared" ref="I16:J16" si="2">I15</f>
        <v>28467.1</v>
      </c>
      <c r="J16" s="127">
        <f t="shared" si="2"/>
        <v>29605.784</v>
      </c>
      <c r="K16" s="127">
        <f t="shared" si="0"/>
        <v>84443.084000000003</v>
      </c>
      <c r="L16" s="294"/>
    </row>
    <row r="17" spans="1:14" ht="63" x14ac:dyDescent="0.25">
      <c r="A17" s="302" t="s">
        <v>84</v>
      </c>
      <c r="B17" s="292" t="s">
        <v>219</v>
      </c>
      <c r="C17" s="238" t="s">
        <v>66</v>
      </c>
      <c r="D17" s="239">
        <v>247</v>
      </c>
      <c r="E17" s="239" t="s">
        <v>62</v>
      </c>
      <c r="F17" s="141" t="s">
        <v>228</v>
      </c>
      <c r="G17" s="255">
        <v>540</v>
      </c>
      <c r="H17" s="262">
        <v>13967.5</v>
      </c>
      <c r="I17" s="262">
        <v>15130.7</v>
      </c>
      <c r="J17" s="262">
        <v>15130.7</v>
      </c>
      <c r="K17" s="75">
        <f t="shared" si="0"/>
        <v>44228.9</v>
      </c>
      <c r="L17" s="294"/>
    </row>
    <row r="18" spans="1:14" x14ac:dyDescent="0.25">
      <c r="A18" s="303"/>
      <c r="B18" s="293"/>
      <c r="C18" s="126" t="s">
        <v>270</v>
      </c>
      <c r="D18" s="126" t="s">
        <v>30</v>
      </c>
      <c r="E18" s="126" t="s">
        <v>30</v>
      </c>
      <c r="F18" s="126" t="s">
        <v>30</v>
      </c>
      <c r="G18" s="126" t="s">
        <v>30</v>
      </c>
      <c r="H18" s="127">
        <f t="shared" ref="H18" si="3">H17</f>
        <v>13967.5</v>
      </c>
      <c r="I18" s="127">
        <f t="shared" ref="I18:J18" si="4">I17</f>
        <v>15130.7</v>
      </c>
      <c r="J18" s="127">
        <f t="shared" si="4"/>
        <v>15130.7</v>
      </c>
      <c r="K18" s="127">
        <f t="shared" si="0"/>
        <v>44228.9</v>
      </c>
      <c r="L18" s="291"/>
    </row>
    <row r="19" spans="1:14" ht="47.25" customHeight="1" x14ac:dyDescent="0.25">
      <c r="A19" s="290" t="s">
        <v>86</v>
      </c>
      <c r="B19" s="292" t="s">
        <v>107</v>
      </c>
      <c r="C19" s="238" t="s">
        <v>95</v>
      </c>
      <c r="D19" s="239">
        <v>242</v>
      </c>
      <c r="E19" s="285" t="s">
        <v>62</v>
      </c>
      <c r="F19" s="298" t="s">
        <v>272</v>
      </c>
      <c r="G19" s="285">
        <v>244</v>
      </c>
      <c r="H19" s="262">
        <v>1650.83</v>
      </c>
      <c r="I19" s="262">
        <v>1650.83</v>
      </c>
      <c r="J19" s="262">
        <f>I19</f>
        <v>1650.83</v>
      </c>
      <c r="K19" s="75">
        <f t="shared" si="0"/>
        <v>4952.49</v>
      </c>
      <c r="L19" s="290" t="s">
        <v>134</v>
      </c>
    </row>
    <row r="20" spans="1:14" ht="63" x14ac:dyDescent="0.25">
      <c r="A20" s="294"/>
      <c r="B20" s="295"/>
      <c r="C20" s="238" t="s">
        <v>66</v>
      </c>
      <c r="D20" s="239">
        <v>247</v>
      </c>
      <c r="E20" s="285"/>
      <c r="F20" s="299"/>
      <c r="G20" s="285"/>
      <c r="H20" s="262">
        <v>4000</v>
      </c>
      <c r="I20" s="262">
        <f>H20</f>
        <v>4000</v>
      </c>
      <c r="J20" s="262">
        <f>I20</f>
        <v>4000</v>
      </c>
      <c r="K20" s="75">
        <f t="shared" si="0"/>
        <v>12000</v>
      </c>
      <c r="L20" s="294"/>
      <c r="N20" s="108"/>
    </row>
    <row r="21" spans="1:14" x14ac:dyDescent="0.25">
      <c r="A21" s="291"/>
      <c r="B21" s="293"/>
      <c r="C21" s="126" t="s">
        <v>270</v>
      </c>
      <c r="D21" s="126" t="s">
        <v>30</v>
      </c>
      <c r="E21" s="126" t="s">
        <v>30</v>
      </c>
      <c r="F21" s="126" t="s">
        <v>30</v>
      </c>
      <c r="G21" s="126" t="s">
        <v>30</v>
      </c>
      <c r="H21" s="127">
        <f t="shared" ref="H21" si="5">H19+H20</f>
        <v>5650.83</v>
      </c>
      <c r="I21" s="127">
        <f t="shared" ref="I21:J21" si="6">I19+I20</f>
        <v>5650.83</v>
      </c>
      <c r="J21" s="127">
        <f t="shared" si="6"/>
        <v>5650.83</v>
      </c>
      <c r="K21" s="127">
        <f t="shared" si="0"/>
        <v>16952.489999999998</v>
      </c>
      <c r="L21" s="291"/>
      <c r="N21" s="108"/>
    </row>
    <row r="22" spans="1:14" s="24" customFormat="1" ht="70.5" customHeight="1" x14ac:dyDescent="0.25">
      <c r="A22" s="290" t="s">
        <v>87</v>
      </c>
      <c r="B22" s="292" t="s">
        <v>108</v>
      </c>
      <c r="C22" s="238" t="s">
        <v>66</v>
      </c>
      <c r="D22" s="239">
        <v>247</v>
      </c>
      <c r="E22" s="239" t="s">
        <v>62</v>
      </c>
      <c r="F22" s="141" t="s">
        <v>273</v>
      </c>
      <c r="G22" s="255">
        <v>540</v>
      </c>
      <c r="H22" s="262">
        <v>2238.7550000000001</v>
      </c>
      <c r="I22" s="262">
        <v>2238.7550000000001</v>
      </c>
      <c r="J22" s="262">
        <v>2238.7550000000001</v>
      </c>
      <c r="K22" s="75">
        <f t="shared" si="0"/>
        <v>6716.2650000000003</v>
      </c>
      <c r="L22" s="290" t="s">
        <v>133</v>
      </c>
    </row>
    <row r="23" spans="1:14" s="24" customFormat="1" x14ac:dyDescent="0.25">
      <c r="A23" s="291"/>
      <c r="B23" s="293"/>
      <c r="C23" s="126" t="s">
        <v>270</v>
      </c>
      <c r="D23" s="126" t="s">
        <v>30</v>
      </c>
      <c r="E23" s="126" t="s">
        <v>30</v>
      </c>
      <c r="F23" s="126" t="s">
        <v>30</v>
      </c>
      <c r="G23" s="126" t="s">
        <v>30</v>
      </c>
      <c r="H23" s="127">
        <f t="shared" ref="H23" si="7">H22</f>
        <v>2238.7550000000001</v>
      </c>
      <c r="I23" s="127">
        <f t="shared" ref="I23:J23" si="8">I22</f>
        <v>2238.7550000000001</v>
      </c>
      <c r="J23" s="127">
        <f t="shared" si="8"/>
        <v>2238.7550000000001</v>
      </c>
      <c r="K23" s="127">
        <f t="shared" si="0"/>
        <v>6716.2650000000003</v>
      </c>
      <c r="L23" s="291"/>
    </row>
    <row r="24" spans="1:14" s="24" customFormat="1" ht="34.5" customHeight="1" x14ac:dyDescent="0.25">
      <c r="A24" s="290" t="s">
        <v>247</v>
      </c>
      <c r="B24" s="292" t="s">
        <v>278</v>
      </c>
      <c r="C24" s="290" t="s">
        <v>66</v>
      </c>
      <c r="D24" s="290">
        <v>247</v>
      </c>
      <c r="E24" s="290" t="s">
        <v>62</v>
      </c>
      <c r="F24" s="141" t="s">
        <v>279</v>
      </c>
      <c r="G24" s="290">
        <v>244</v>
      </c>
      <c r="H24" s="74">
        <v>0</v>
      </c>
      <c r="I24" s="74"/>
      <c r="J24" s="74"/>
      <c r="K24" s="75">
        <f t="shared" ref="K24:K26" si="9">SUM(H24:J24)</f>
        <v>0</v>
      </c>
      <c r="L24" s="290" t="s">
        <v>134</v>
      </c>
    </row>
    <row r="25" spans="1:14" s="24" customFormat="1" ht="34.5" customHeight="1" x14ac:dyDescent="0.25">
      <c r="A25" s="294"/>
      <c r="B25" s="295"/>
      <c r="C25" s="291"/>
      <c r="D25" s="291"/>
      <c r="E25" s="291"/>
      <c r="F25" s="141" t="s">
        <v>280</v>
      </c>
      <c r="G25" s="291"/>
      <c r="H25" s="74">
        <v>0</v>
      </c>
      <c r="I25" s="74"/>
      <c r="J25" s="74"/>
      <c r="K25" s="75">
        <f t="shared" si="9"/>
        <v>0</v>
      </c>
      <c r="L25" s="294"/>
    </row>
    <row r="26" spans="1:14" s="24" customFormat="1" x14ac:dyDescent="0.25">
      <c r="A26" s="291"/>
      <c r="B26" s="293"/>
      <c r="C26" s="126" t="s">
        <v>270</v>
      </c>
      <c r="D26" s="126" t="s">
        <v>30</v>
      </c>
      <c r="E26" s="126" t="s">
        <v>30</v>
      </c>
      <c r="F26" s="126" t="s">
        <v>30</v>
      </c>
      <c r="G26" s="126" t="s">
        <v>30</v>
      </c>
      <c r="H26" s="127">
        <f>SUM(H24:H25)</f>
        <v>0</v>
      </c>
      <c r="I26" s="127">
        <f t="shared" ref="I26:J26" si="10">SUM(I24:I25)</f>
        <v>0</v>
      </c>
      <c r="J26" s="127">
        <f t="shared" si="10"/>
        <v>0</v>
      </c>
      <c r="K26" s="127">
        <f t="shared" si="9"/>
        <v>0</v>
      </c>
      <c r="L26" s="291"/>
    </row>
    <row r="27" spans="1:14" s="24" customFormat="1" ht="71.25" customHeight="1" x14ac:dyDescent="0.25">
      <c r="A27" s="290" t="s">
        <v>269</v>
      </c>
      <c r="B27" s="292" t="s">
        <v>277</v>
      </c>
      <c r="C27" s="238" t="s">
        <v>66</v>
      </c>
      <c r="D27" s="239">
        <v>247</v>
      </c>
      <c r="E27" s="239" t="s">
        <v>62</v>
      </c>
      <c r="F27" s="141" t="s">
        <v>274</v>
      </c>
      <c r="G27" s="255">
        <v>244</v>
      </c>
      <c r="H27" s="262">
        <v>12450</v>
      </c>
      <c r="I27" s="262">
        <v>12450</v>
      </c>
      <c r="J27" s="262">
        <v>12450</v>
      </c>
      <c r="K27" s="75">
        <f t="shared" ref="K27:K28" si="11">SUM(H27:J27)</f>
        <v>37350</v>
      </c>
      <c r="L27" s="290" t="s">
        <v>271</v>
      </c>
    </row>
    <row r="28" spans="1:14" s="24" customFormat="1" x14ac:dyDescent="0.25">
      <c r="A28" s="291"/>
      <c r="B28" s="293"/>
      <c r="C28" s="126" t="s">
        <v>270</v>
      </c>
      <c r="D28" s="126" t="s">
        <v>30</v>
      </c>
      <c r="E28" s="126" t="s">
        <v>30</v>
      </c>
      <c r="F28" s="126" t="s">
        <v>30</v>
      </c>
      <c r="G28" s="126" t="s">
        <v>30</v>
      </c>
      <c r="H28" s="127">
        <f t="shared" ref="H28:J28" si="12">H27</f>
        <v>12450</v>
      </c>
      <c r="I28" s="127">
        <f t="shared" si="12"/>
        <v>12450</v>
      </c>
      <c r="J28" s="127">
        <f t="shared" si="12"/>
        <v>12450</v>
      </c>
      <c r="K28" s="127">
        <f t="shared" si="11"/>
        <v>37350</v>
      </c>
      <c r="L28" s="291"/>
    </row>
    <row r="29" spans="1:14" s="24" customFormat="1" ht="90" hidden="1" customHeight="1" outlineLevel="1" x14ac:dyDescent="0.25">
      <c r="A29" s="290" t="s">
        <v>276</v>
      </c>
      <c r="B29" s="292" t="s">
        <v>275</v>
      </c>
      <c r="C29" s="234" t="s">
        <v>66</v>
      </c>
      <c r="D29" s="235">
        <v>247</v>
      </c>
      <c r="E29" s="235" t="s">
        <v>62</v>
      </c>
      <c r="F29" s="237"/>
      <c r="G29" s="255">
        <v>244</v>
      </c>
      <c r="H29" s="74"/>
      <c r="I29" s="74"/>
      <c r="J29" s="74"/>
      <c r="K29" s="75">
        <f t="shared" ref="K29:K30" si="13">SUM(H29:J29)</f>
        <v>0</v>
      </c>
      <c r="L29" s="236"/>
    </row>
    <row r="30" spans="1:14" s="24" customFormat="1" hidden="1" outlineLevel="1" x14ac:dyDescent="0.25">
      <c r="A30" s="291"/>
      <c r="B30" s="293"/>
      <c r="C30" s="126" t="s">
        <v>270</v>
      </c>
      <c r="D30" s="126" t="s">
        <v>30</v>
      </c>
      <c r="E30" s="126" t="s">
        <v>30</v>
      </c>
      <c r="F30" s="126" t="s">
        <v>30</v>
      </c>
      <c r="G30" s="126" t="s">
        <v>30</v>
      </c>
      <c r="H30" s="127">
        <f t="shared" ref="H30:J30" si="14">H29</f>
        <v>0</v>
      </c>
      <c r="I30" s="127">
        <f t="shared" si="14"/>
        <v>0</v>
      </c>
      <c r="J30" s="127">
        <f t="shared" si="14"/>
        <v>0</v>
      </c>
      <c r="K30" s="127">
        <f t="shared" si="13"/>
        <v>0</v>
      </c>
      <c r="L30" s="236"/>
    </row>
    <row r="31" spans="1:14" s="116" customFormat="1" collapsed="1" x14ac:dyDescent="0.25">
      <c r="A31" s="122"/>
      <c r="B31" s="123" t="s">
        <v>120</v>
      </c>
      <c r="C31" s="122" t="s">
        <v>30</v>
      </c>
      <c r="D31" s="122" t="s">
        <v>30</v>
      </c>
      <c r="E31" s="122" t="s">
        <v>30</v>
      </c>
      <c r="F31" s="122" t="s">
        <v>30</v>
      </c>
      <c r="G31" s="122" t="s">
        <v>30</v>
      </c>
      <c r="H31" s="124">
        <f>H16+H18+H21+H23+H26+H28+H30</f>
        <v>60677.284999999996</v>
      </c>
      <c r="I31" s="124">
        <f>I16+I18+I21+I23+I26+I28+I30</f>
        <v>63937.385000000002</v>
      </c>
      <c r="J31" s="124">
        <f>J16+J18+J21+J23+J26+J28+J30</f>
        <v>65076.068999999996</v>
      </c>
      <c r="K31" s="124">
        <f>K16+K18+K21+K23+K26+K28+K30</f>
        <v>189690.739</v>
      </c>
      <c r="L31" s="122" t="s">
        <v>30</v>
      </c>
    </row>
    <row r="32" spans="1:14" s="24" customFormat="1" x14ac:dyDescent="0.25">
      <c r="A32" s="25"/>
    </row>
    <row r="33" spans="8:11" x14ac:dyDescent="0.25">
      <c r="H33" s="261">
        <f>H16+H21+H23+H28</f>
        <v>46709.784999999996</v>
      </c>
    </row>
    <row r="34" spans="8:11" x14ac:dyDescent="0.25">
      <c r="H34" s="261">
        <f>60677.285-H31</f>
        <v>0</v>
      </c>
    </row>
    <row r="36" spans="8:11" x14ac:dyDescent="0.25">
      <c r="H36" s="43"/>
      <c r="I36" s="43"/>
      <c r="J36" s="43"/>
      <c r="K36" s="43"/>
    </row>
    <row r="37" spans="8:11" x14ac:dyDescent="0.25">
      <c r="H37" s="43"/>
      <c r="I37" s="43"/>
      <c r="J37" s="43"/>
      <c r="K37" s="43"/>
    </row>
    <row r="38" spans="8:11" x14ac:dyDescent="0.25">
      <c r="H38" s="43"/>
      <c r="I38" s="43"/>
      <c r="J38" s="43"/>
      <c r="K38" s="43"/>
    </row>
    <row r="39" spans="8:11" x14ac:dyDescent="0.25">
      <c r="H39" s="43"/>
      <c r="I39" s="43"/>
      <c r="J39" s="43"/>
      <c r="K39" s="43"/>
    </row>
    <row r="40" spans="8:11" x14ac:dyDescent="0.25">
      <c r="H40" s="117"/>
      <c r="I40" s="117"/>
      <c r="J40" s="117"/>
      <c r="K40" s="117"/>
    </row>
    <row r="41" spans="8:11" x14ac:dyDescent="0.25">
      <c r="H41" s="43"/>
      <c r="I41" s="43"/>
      <c r="J41" s="43"/>
      <c r="K41" s="43"/>
    </row>
    <row r="42" spans="8:11" x14ac:dyDescent="0.25">
      <c r="H42" s="43"/>
      <c r="I42" s="43"/>
      <c r="J42" s="43"/>
      <c r="K42" s="43"/>
    </row>
    <row r="43" spans="8:11" x14ac:dyDescent="0.25">
      <c r="H43" s="43"/>
      <c r="I43" s="43"/>
      <c r="J43" s="43"/>
      <c r="K43" s="43"/>
    </row>
  </sheetData>
  <mergeCells count="38">
    <mergeCell ref="L19:L21"/>
    <mergeCell ref="L22:L23"/>
    <mergeCell ref="B17:B18"/>
    <mergeCell ref="A17:A18"/>
    <mergeCell ref="B19:B21"/>
    <mergeCell ref="A19:A21"/>
    <mergeCell ref="B22:B23"/>
    <mergeCell ref="A22:A23"/>
    <mergeCell ref="L10:L11"/>
    <mergeCell ref="A14:L14"/>
    <mergeCell ref="A13:L13"/>
    <mergeCell ref="B15:B16"/>
    <mergeCell ref="A15:A16"/>
    <mergeCell ref="L15:L18"/>
    <mergeCell ref="L27:L28"/>
    <mergeCell ref="A24:A26"/>
    <mergeCell ref="B24:B26"/>
    <mergeCell ref="L24:L26"/>
    <mergeCell ref="K1:L1"/>
    <mergeCell ref="K4:L4"/>
    <mergeCell ref="G19:G20"/>
    <mergeCell ref="E19:E20"/>
    <mergeCell ref="F19:F20"/>
    <mergeCell ref="A7:L7"/>
    <mergeCell ref="A8:L8"/>
    <mergeCell ref="A10:A11"/>
    <mergeCell ref="B10:B11"/>
    <mergeCell ref="C10:C11"/>
    <mergeCell ref="D10:G10"/>
    <mergeCell ref="H10:K10"/>
    <mergeCell ref="C24:C25"/>
    <mergeCell ref="D24:D25"/>
    <mergeCell ref="E24:E25"/>
    <mergeCell ref="G24:G25"/>
    <mergeCell ref="A29:A30"/>
    <mergeCell ref="B29:B30"/>
    <mergeCell ref="A27:A28"/>
    <mergeCell ref="B27:B28"/>
  </mergeCells>
  <pageMargins left="0.78740157480314965" right="0.78740157480314965" top="1.1811023622047245" bottom="0.39370078740157483" header="0.31496062992125984" footer="0.31496062992125984"/>
  <pageSetup paperSize="9" scale="59" fitToHeight="0" orientation="landscape" r:id="rId1"/>
  <rowBreaks count="1" manualBreakCount="1">
    <brk id="21" max="11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0"/>
  <sheetViews>
    <sheetView view="pageBreakPreview" topLeftCell="B4" zoomScale="85" zoomScaleNormal="70" zoomScaleSheetLayoutView="85" workbookViewId="0">
      <selection activeCell="H22" sqref="H22"/>
    </sheetView>
  </sheetViews>
  <sheetFormatPr defaultRowHeight="15.75" outlineLevelRow="1" x14ac:dyDescent="0.25"/>
  <cols>
    <col min="1" max="1" width="5.375" style="4" customWidth="1"/>
    <col min="2" max="2" width="42.125" style="1" customWidth="1"/>
    <col min="3" max="3" width="11.5" style="4" customWidth="1"/>
    <col min="4" max="4" width="14.875" style="1" customWidth="1"/>
    <col min="5" max="5" width="12.875" style="1" customWidth="1"/>
    <col min="6" max="8" width="13.125" style="1" customWidth="1"/>
    <col min="9" max="16384" width="9" style="1"/>
  </cols>
  <sheetData>
    <row r="1" spans="1:8" ht="75.75" hidden="1" customHeight="1" outlineLevel="1" x14ac:dyDescent="0.25">
      <c r="F1" s="274" t="s">
        <v>257</v>
      </c>
      <c r="G1" s="274"/>
      <c r="H1" s="274"/>
    </row>
    <row r="2" spans="1:8" hidden="1" outlineLevel="1" x14ac:dyDescent="0.25"/>
    <row r="3" spans="1:8" hidden="1" outlineLevel="1" x14ac:dyDescent="0.25"/>
    <row r="4" spans="1:8" ht="92.25" customHeight="1" collapsed="1" x14ac:dyDescent="0.25">
      <c r="F4" s="275" t="s">
        <v>204</v>
      </c>
      <c r="G4" s="275"/>
      <c r="H4" s="275"/>
    </row>
    <row r="5" spans="1:8" ht="18.75" x14ac:dyDescent="0.25">
      <c r="A5" s="10"/>
    </row>
    <row r="6" spans="1:8" ht="18.75" x14ac:dyDescent="0.25">
      <c r="A6" s="10"/>
    </row>
    <row r="7" spans="1:8" ht="18.75" x14ac:dyDescent="0.25">
      <c r="A7" s="278" t="s">
        <v>1</v>
      </c>
      <c r="B7" s="278"/>
      <c r="C7" s="278"/>
      <c r="D7" s="278"/>
      <c r="E7" s="278"/>
      <c r="F7" s="278"/>
      <c r="G7" s="278"/>
      <c r="H7" s="278"/>
    </row>
    <row r="8" spans="1:8" ht="48" customHeight="1" x14ac:dyDescent="0.25">
      <c r="A8" s="289" t="s">
        <v>77</v>
      </c>
      <c r="B8" s="278"/>
      <c r="C8" s="278"/>
      <c r="D8" s="278"/>
      <c r="E8" s="278"/>
      <c r="F8" s="278"/>
      <c r="G8" s="278"/>
      <c r="H8" s="278"/>
    </row>
    <row r="9" spans="1:8" ht="18.75" x14ac:dyDescent="0.25">
      <c r="A9" s="10"/>
    </row>
    <row r="10" spans="1:8" x14ac:dyDescent="0.25">
      <c r="A10" s="279" t="s">
        <v>19</v>
      </c>
      <c r="B10" s="279" t="s">
        <v>46</v>
      </c>
      <c r="C10" s="279" t="s">
        <v>2</v>
      </c>
      <c r="D10" s="279" t="s">
        <v>47</v>
      </c>
      <c r="E10" s="279" t="s">
        <v>48</v>
      </c>
      <c r="F10" s="279"/>
      <c r="G10" s="279"/>
      <c r="H10" s="279"/>
    </row>
    <row r="11" spans="1:8" x14ac:dyDescent="0.25">
      <c r="A11" s="279"/>
      <c r="B11" s="279"/>
      <c r="C11" s="279"/>
      <c r="D11" s="279"/>
      <c r="E11" s="145">
        <f>'пр к пасп ПП1'!E12</f>
        <v>2019</v>
      </c>
      <c r="F11" s="197">
        <f>'пр к пасп ПП1'!F12</f>
        <v>2020</v>
      </c>
      <c r="G11" s="197">
        <f>'пр к пасп ПП1'!G12</f>
        <v>2021</v>
      </c>
      <c r="H11" s="197">
        <f>'пр к пасп ПП1'!H12</f>
        <v>2022</v>
      </c>
    </row>
    <row r="12" spans="1:8" x14ac:dyDescent="0.25">
      <c r="A12" s="11">
        <v>1</v>
      </c>
      <c r="B12" s="11">
        <v>2</v>
      </c>
      <c r="C12" s="11">
        <v>3</v>
      </c>
      <c r="D12" s="11">
        <v>4</v>
      </c>
      <c r="E12" s="11">
        <v>5</v>
      </c>
      <c r="F12" s="11">
        <v>6</v>
      </c>
      <c r="G12" s="11">
        <v>7</v>
      </c>
      <c r="H12" s="11">
        <v>8</v>
      </c>
    </row>
    <row r="13" spans="1:8" x14ac:dyDescent="0.25">
      <c r="A13" s="304" t="str">
        <f>'пр к ПП2'!A13:L13</f>
        <v>Цель. Удовлетворение потребности населения в перевозках.</v>
      </c>
      <c r="B13" s="305"/>
      <c r="C13" s="305"/>
      <c r="D13" s="305"/>
      <c r="E13" s="305"/>
      <c r="F13" s="305"/>
      <c r="G13" s="305"/>
      <c r="H13" s="306"/>
    </row>
    <row r="14" spans="1:8" ht="33" customHeight="1" x14ac:dyDescent="0.25">
      <c r="A14" s="304" t="str">
        <f>'пр к ПП2'!A14:L14</f>
        <v>Задача 1. Предоставление субсидий субъектам пассажирских авиа- и автоперевозок в целях возмещения недополученных доходов и (или) финансового обеспечения (возмещения) затрат.</v>
      </c>
      <c r="B14" s="305"/>
      <c r="C14" s="305"/>
      <c r="D14" s="305"/>
      <c r="E14" s="305"/>
      <c r="F14" s="305"/>
      <c r="G14" s="305"/>
      <c r="H14" s="306"/>
    </row>
    <row r="15" spans="1:8" ht="72" customHeight="1" x14ac:dyDescent="0.25">
      <c r="A15" s="11" t="s">
        <v>3</v>
      </c>
      <c r="B15" s="9" t="s">
        <v>137</v>
      </c>
      <c r="C15" s="11" t="s">
        <v>78</v>
      </c>
      <c r="D15" s="11" t="s">
        <v>79</v>
      </c>
      <c r="E15" s="214">
        <v>7.3940000000000001</v>
      </c>
      <c r="F15" s="214">
        <f>E15</f>
        <v>7.3940000000000001</v>
      </c>
      <c r="G15" s="214">
        <f t="shared" ref="G15:H15" si="0">F15</f>
        <v>7.3940000000000001</v>
      </c>
      <c r="H15" s="214">
        <f t="shared" si="0"/>
        <v>7.3940000000000001</v>
      </c>
    </row>
    <row r="16" spans="1:8" ht="72" customHeight="1" x14ac:dyDescent="0.25">
      <c r="A16" s="11" t="s">
        <v>84</v>
      </c>
      <c r="B16" s="9" t="s">
        <v>138</v>
      </c>
      <c r="C16" s="11" t="s">
        <v>80</v>
      </c>
      <c r="D16" s="11" t="s">
        <v>79</v>
      </c>
      <c r="E16" s="214">
        <v>169.31800000000001</v>
      </c>
      <c r="F16" s="214">
        <f>E16</f>
        <v>169.31800000000001</v>
      </c>
      <c r="G16" s="214">
        <f t="shared" ref="G16:H16" si="1">F16</f>
        <v>169.31800000000001</v>
      </c>
      <c r="H16" s="214">
        <f t="shared" si="1"/>
        <v>169.31800000000001</v>
      </c>
    </row>
    <row r="17" spans="1:5" ht="18.75" x14ac:dyDescent="0.25">
      <c r="A17" s="10"/>
    </row>
    <row r="20" spans="1:5" x14ac:dyDescent="0.25">
      <c r="E20" s="31"/>
    </row>
  </sheetData>
  <mergeCells count="11">
    <mergeCell ref="F1:H1"/>
    <mergeCell ref="A13:H13"/>
    <mergeCell ref="A14:H14"/>
    <mergeCell ref="F4:H4"/>
    <mergeCell ref="A7:H7"/>
    <mergeCell ref="A8:H8"/>
    <mergeCell ref="A10:A11"/>
    <mergeCell ref="B10:B11"/>
    <mergeCell ref="C10:C11"/>
    <mergeCell ref="D10:D11"/>
    <mergeCell ref="E10:H10"/>
  </mergeCells>
  <pageMargins left="0.78740157480314965" right="0.78740157480314965" top="1.1811023622047245" bottom="0.39370078740157483" header="0.31496062992125984" footer="0.31496062992125984"/>
  <pageSetup paperSize="9" scale="96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2"/>
  <sheetViews>
    <sheetView tabSelected="1" view="pageBreakPreview" topLeftCell="A7" zoomScale="70" zoomScaleNormal="70" zoomScaleSheetLayoutView="70" workbookViewId="0">
      <selection activeCell="P11" sqref="P11:W19"/>
    </sheetView>
  </sheetViews>
  <sheetFormatPr defaultRowHeight="18.75" outlineLevelRow="1" x14ac:dyDescent="0.25"/>
  <cols>
    <col min="1" max="1" width="4.75" style="192" customWidth="1"/>
    <col min="2" max="2" width="45.25" style="22" customWidth="1"/>
    <col min="3" max="3" width="18.5" style="22" customWidth="1"/>
    <col min="4" max="5" width="7.375" style="22" customWidth="1"/>
    <col min="6" max="6" width="17.75" style="22" customWidth="1"/>
    <col min="7" max="7" width="5.75" style="22" customWidth="1"/>
    <col min="8" max="10" width="13.75" style="22" bestFit="1" customWidth="1"/>
    <col min="11" max="11" width="18.625" style="22" customWidth="1"/>
    <col min="12" max="12" width="24.5" style="22" customWidth="1"/>
    <col min="13" max="16" width="9" style="22"/>
    <col min="17" max="17" width="18.125" style="22" customWidth="1"/>
    <col min="18" max="19" width="16" style="22" customWidth="1"/>
    <col min="20" max="20" width="15.75" style="22" customWidth="1"/>
    <col min="21" max="21" width="18.25" style="22" customWidth="1"/>
    <col min="22" max="22" width="14.875" style="22" customWidth="1"/>
    <col min="23" max="23" width="15.75" style="22" customWidth="1"/>
    <col min="24" max="16384" width="9" style="22"/>
  </cols>
  <sheetData>
    <row r="1" spans="1:23" ht="84" hidden="1" customHeight="1" outlineLevel="1" x14ac:dyDescent="0.3">
      <c r="K1" s="296" t="s">
        <v>256</v>
      </c>
      <c r="L1" s="296"/>
    </row>
    <row r="2" spans="1:23" hidden="1" outlineLevel="1" x14ac:dyDescent="0.25"/>
    <row r="3" spans="1:23" hidden="1" outlineLevel="1" x14ac:dyDescent="0.25"/>
    <row r="4" spans="1:23" ht="88.5" customHeight="1" collapsed="1" x14ac:dyDescent="0.25">
      <c r="K4" s="297" t="s">
        <v>205</v>
      </c>
      <c r="L4" s="297"/>
    </row>
    <row r="7" spans="1:23" x14ac:dyDescent="0.25">
      <c r="A7" s="300" t="s">
        <v>1</v>
      </c>
      <c r="B7" s="300"/>
      <c r="C7" s="300"/>
      <c r="D7" s="300"/>
      <c r="E7" s="300"/>
      <c r="F7" s="300"/>
      <c r="G7" s="300"/>
      <c r="H7" s="300"/>
      <c r="I7" s="300"/>
      <c r="J7" s="300"/>
      <c r="K7" s="300"/>
      <c r="L7" s="300"/>
    </row>
    <row r="8" spans="1:23" x14ac:dyDescent="0.25">
      <c r="A8" s="300" t="s">
        <v>236</v>
      </c>
      <c r="B8" s="300"/>
      <c r="C8" s="300"/>
      <c r="D8" s="300"/>
      <c r="E8" s="300"/>
      <c r="F8" s="300"/>
      <c r="G8" s="300"/>
      <c r="H8" s="300"/>
      <c r="I8" s="300"/>
      <c r="J8" s="300"/>
      <c r="K8" s="300"/>
      <c r="L8" s="300"/>
      <c r="P8" s="300" t="s">
        <v>1</v>
      </c>
      <c r="Q8" s="300"/>
      <c r="R8" s="300"/>
      <c r="S8" s="300"/>
      <c r="T8" s="300"/>
      <c r="U8" s="300"/>
      <c r="V8" s="300"/>
      <c r="W8" s="300"/>
    </row>
    <row r="9" spans="1:23" x14ac:dyDescent="0.25">
      <c r="A9" s="269"/>
      <c r="P9" s="300" t="s">
        <v>236</v>
      </c>
      <c r="Q9" s="300"/>
      <c r="R9" s="300"/>
      <c r="S9" s="300"/>
      <c r="T9" s="300"/>
      <c r="U9" s="300"/>
      <c r="V9" s="300"/>
      <c r="W9" s="300"/>
    </row>
    <row r="10" spans="1:23" s="26" customFormat="1" ht="32.25" customHeight="1" x14ac:dyDescent="0.25">
      <c r="A10" s="285" t="s">
        <v>19</v>
      </c>
      <c r="B10" s="285" t="s">
        <v>49</v>
      </c>
      <c r="C10" s="285" t="s">
        <v>25</v>
      </c>
      <c r="D10" s="285" t="s">
        <v>23</v>
      </c>
      <c r="E10" s="285"/>
      <c r="F10" s="285"/>
      <c r="G10" s="285"/>
      <c r="H10" s="285" t="s">
        <v>50</v>
      </c>
      <c r="I10" s="285"/>
      <c r="J10" s="285"/>
      <c r="K10" s="285"/>
      <c r="L10" s="285" t="s">
        <v>51</v>
      </c>
      <c r="P10" s="269"/>
      <c r="Q10" s="22"/>
      <c r="R10" s="22"/>
      <c r="S10" s="22"/>
      <c r="T10" s="22"/>
      <c r="U10" s="22"/>
      <c r="V10" s="22"/>
      <c r="W10" s="22"/>
    </row>
    <row r="11" spans="1:23" s="26" customFormat="1" ht="85.5" customHeight="1" x14ac:dyDescent="0.25">
      <c r="A11" s="285"/>
      <c r="B11" s="285"/>
      <c r="C11" s="285"/>
      <c r="D11" s="268" t="s">
        <v>25</v>
      </c>
      <c r="E11" s="268" t="s">
        <v>26</v>
      </c>
      <c r="F11" s="268" t="s">
        <v>27</v>
      </c>
      <c r="G11" s="268" t="s">
        <v>28</v>
      </c>
      <c r="H11" s="270">
        <f>'пр 7 к МП'!K$16</f>
        <v>2020</v>
      </c>
      <c r="I11" s="270">
        <f>'пр 7 к МП'!L$16</f>
        <v>2021</v>
      </c>
      <c r="J11" s="270">
        <f>'пр 7 к МП'!M$16</f>
        <v>2022</v>
      </c>
      <c r="K11" s="268" t="s">
        <v>52</v>
      </c>
      <c r="L11" s="285"/>
      <c r="P11" s="285" t="s">
        <v>19</v>
      </c>
      <c r="Q11" s="285" t="s">
        <v>49</v>
      </c>
      <c r="R11" s="285" t="s">
        <v>25</v>
      </c>
      <c r="S11" s="285" t="s">
        <v>50</v>
      </c>
      <c r="T11" s="285"/>
      <c r="U11" s="285"/>
      <c r="V11" s="285"/>
      <c r="W11" s="285" t="s">
        <v>51</v>
      </c>
    </row>
    <row r="12" spans="1:23" s="26" customFormat="1" ht="78.75" x14ac:dyDescent="0.25">
      <c r="A12" s="268">
        <v>1</v>
      </c>
      <c r="B12" s="268">
        <v>2</v>
      </c>
      <c r="C12" s="268">
        <v>3</v>
      </c>
      <c r="D12" s="268">
        <v>4</v>
      </c>
      <c r="E12" s="268">
        <v>5</v>
      </c>
      <c r="F12" s="268">
        <v>6</v>
      </c>
      <c r="G12" s="268">
        <v>7</v>
      </c>
      <c r="H12" s="268">
        <v>8</v>
      </c>
      <c r="I12" s="268">
        <v>9</v>
      </c>
      <c r="J12" s="268">
        <v>10</v>
      </c>
      <c r="K12" s="268">
        <v>11</v>
      </c>
      <c r="L12" s="268">
        <v>12</v>
      </c>
      <c r="P12" s="285"/>
      <c r="Q12" s="285"/>
      <c r="R12" s="285"/>
      <c r="S12" s="270">
        <f>'пр 7 к МП'!Z$16</f>
        <v>0</v>
      </c>
      <c r="T12" s="270">
        <f>'пр 7 к МП'!AA$16</f>
        <v>0</v>
      </c>
      <c r="U12" s="270">
        <f>'пр 7 к МП'!AB$16</f>
        <v>0</v>
      </c>
      <c r="V12" s="268" t="s">
        <v>52</v>
      </c>
      <c r="W12" s="285"/>
    </row>
    <row r="13" spans="1:23" s="27" customFormat="1" ht="18.75" customHeight="1" x14ac:dyDescent="0.25">
      <c r="A13" s="301" t="s">
        <v>167</v>
      </c>
      <c r="B13" s="301"/>
      <c r="C13" s="301"/>
      <c r="D13" s="301"/>
      <c r="E13" s="301"/>
      <c r="F13" s="301"/>
      <c r="G13" s="301"/>
      <c r="H13" s="301"/>
      <c r="I13" s="301"/>
      <c r="J13" s="301"/>
      <c r="K13" s="301"/>
      <c r="L13" s="301"/>
      <c r="P13" s="268">
        <v>1</v>
      </c>
      <c r="Q13" s="268">
        <v>2</v>
      </c>
      <c r="R13" s="268">
        <v>3</v>
      </c>
      <c r="S13" s="268">
        <v>8</v>
      </c>
      <c r="T13" s="268">
        <v>9</v>
      </c>
      <c r="U13" s="268">
        <v>10</v>
      </c>
      <c r="V13" s="268">
        <v>11</v>
      </c>
      <c r="W13" s="268">
        <v>12</v>
      </c>
    </row>
    <row r="14" spans="1:23" s="27" customFormat="1" ht="15.75" customHeight="1" x14ac:dyDescent="0.25">
      <c r="A14" s="301" t="s">
        <v>124</v>
      </c>
      <c r="B14" s="301"/>
      <c r="C14" s="301"/>
      <c r="D14" s="301"/>
      <c r="E14" s="301"/>
      <c r="F14" s="301"/>
      <c r="G14" s="301"/>
      <c r="H14" s="301"/>
      <c r="I14" s="301"/>
      <c r="J14" s="301"/>
      <c r="K14" s="301"/>
      <c r="L14" s="301"/>
      <c r="P14" s="301" t="s">
        <v>167</v>
      </c>
      <c r="Q14" s="301"/>
      <c r="R14" s="301"/>
      <c r="S14" s="301"/>
      <c r="T14" s="301"/>
      <c r="U14" s="301"/>
      <c r="V14" s="301"/>
      <c r="W14" s="301"/>
    </row>
    <row r="15" spans="1:23" s="26" customFormat="1" ht="47.25" customHeight="1" x14ac:dyDescent="0.25">
      <c r="A15" s="285" t="s">
        <v>3</v>
      </c>
      <c r="B15" s="283" t="s">
        <v>105</v>
      </c>
      <c r="C15" s="266" t="s">
        <v>65</v>
      </c>
      <c r="D15" s="268">
        <v>241</v>
      </c>
      <c r="E15" s="268" t="s">
        <v>64</v>
      </c>
      <c r="F15" s="141" t="s">
        <v>175</v>
      </c>
      <c r="G15" s="268">
        <v>811</v>
      </c>
      <c r="H15" s="74">
        <v>112577.09299999999</v>
      </c>
      <c r="I15" s="74">
        <f>H15</f>
        <v>112577.09299999999</v>
      </c>
      <c r="J15" s="74">
        <f>I15</f>
        <v>112577.09299999999</v>
      </c>
      <c r="K15" s="75">
        <f>SUM(H15:J15)</f>
        <v>337731.27899999998</v>
      </c>
      <c r="L15" s="285" t="s">
        <v>121</v>
      </c>
      <c r="P15" s="301" t="s">
        <v>124</v>
      </c>
      <c r="Q15" s="301"/>
      <c r="R15" s="301"/>
      <c r="S15" s="301"/>
      <c r="T15" s="301"/>
      <c r="U15" s="301"/>
      <c r="V15" s="301"/>
      <c r="W15" s="301"/>
    </row>
    <row r="16" spans="1:23" s="26" customFormat="1" ht="78.75" customHeight="1" x14ac:dyDescent="0.25">
      <c r="A16" s="285"/>
      <c r="B16" s="283"/>
      <c r="C16" s="271" t="s">
        <v>270</v>
      </c>
      <c r="D16" s="263" t="s">
        <v>30</v>
      </c>
      <c r="E16" s="263" t="s">
        <v>30</v>
      </c>
      <c r="F16" s="263" t="s">
        <v>30</v>
      </c>
      <c r="G16" s="263" t="s">
        <v>30</v>
      </c>
      <c r="H16" s="264">
        <f t="shared" ref="H16:I16" si="0">H15</f>
        <v>112577.09299999999</v>
      </c>
      <c r="I16" s="264">
        <f t="shared" si="0"/>
        <v>112577.09299999999</v>
      </c>
      <c r="J16" s="264">
        <f t="shared" ref="J16" si="1">J15</f>
        <v>112577.09299999999</v>
      </c>
      <c r="K16" s="265">
        <f t="shared" ref="K16:K18" si="2">SUM(H16:J16)</f>
        <v>337731.27899999998</v>
      </c>
      <c r="L16" s="285"/>
      <c r="P16" s="285" t="s">
        <v>3</v>
      </c>
      <c r="Q16" s="283" t="s">
        <v>105</v>
      </c>
      <c r="R16" s="266" t="s">
        <v>65</v>
      </c>
      <c r="S16" s="74">
        <v>112577.09299999999</v>
      </c>
      <c r="T16" s="74">
        <f>S16</f>
        <v>112577.09299999999</v>
      </c>
      <c r="U16" s="74">
        <f>T16</f>
        <v>112577.09299999999</v>
      </c>
      <c r="V16" s="75">
        <f>SUM(S16:U16)</f>
        <v>337731.27899999998</v>
      </c>
      <c r="W16" s="285" t="s">
        <v>121</v>
      </c>
    </row>
    <row r="17" spans="1:23" s="26" customFormat="1" ht="47.25" x14ac:dyDescent="0.25">
      <c r="A17" s="285" t="s">
        <v>84</v>
      </c>
      <c r="B17" s="283" t="s">
        <v>106</v>
      </c>
      <c r="C17" s="266" t="s">
        <v>65</v>
      </c>
      <c r="D17" s="268">
        <v>241</v>
      </c>
      <c r="E17" s="268" t="s">
        <v>64</v>
      </c>
      <c r="F17" s="141" t="s">
        <v>176</v>
      </c>
      <c r="G17" s="268">
        <v>540</v>
      </c>
      <c r="H17" s="74">
        <v>28161.701000000001</v>
      </c>
      <c r="I17" s="74">
        <f>H17</f>
        <v>28161.701000000001</v>
      </c>
      <c r="J17" s="74">
        <f>I17</f>
        <v>28161.701000000001</v>
      </c>
      <c r="K17" s="75">
        <f t="shared" si="2"/>
        <v>84485.103000000003</v>
      </c>
      <c r="L17" s="285" t="s">
        <v>121</v>
      </c>
      <c r="P17" s="285"/>
      <c r="Q17" s="283"/>
      <c r="R17" s="271" t="s">
        <v>270</v>
      </c>
      <c r="S17" s="264">
        <f t="shared" ref="S17:U17" si="3">S16</f>
        <v>112577.09299999999</v>
      </c>
      <c r="T17" s="264">
        <f t="shared" si="3"/>
        <v>112577.09299999999</v>
      </c>
      <c r="U17" s="264">
        <f t="shared" si="3"/>
        <v>112577.09299999999</v>
      </c>
      <c r="V17" s="265">
        <f t="shared" ref="V17:V19" si="4">SUM(S17:U17)</f>
        <v>337731.27899999998</v>
      </c>
      <c r="W17" s="285"/>
    </row>
    <row r="18" spans="1:23" s="26" customFormat="1" ht="78.75" customHeight="1" x14ac:dyDescent="0.25">
      <c r="A18" s="285"/>
      <c r="B18" s="283"/>
      <c r="C18" s="271" t="s">
        <v>270</v>
      </c>
      <c r="D18" s="263" t="s">
        <v>30</v>
      </c>
      <c r="E18" s="263" t="s">
        <v>30</v>
      </c>
      <c r="F18" s="263" t="s">
        <v>30</v>
      </c>
      <c r="G18" s="263" t="s">
        <v>30</v>
      </c>
      <c r="H18" s="264">
        <f t="shared" ref="H18" si="5">H17</f>
        <v>28161.701000000001</v>
      </c>
      <c r="I18" s="264">
        <f t="shared" ref="I18:J18" si="6">I17</f>
        <v>28161.701000000001</v>
      </c>
      <c r="J18" s="264">
        <f t="shared" si="6"/>
        <v>28161.701000000001</v>
      </c>
      <c r="K18" s="265">
        <f t="shared" si="2"/>
        <v>84485.103000000003</v>
      </c>
      <c r="L18" s="285"/>
      <c r="P18" s="285" t="s">
        <v>84</v>
      </c>
      <c r="Q18" s="283" t="s">
        <v>106</v>
      </c>
      <c r="R18" s="266" t="s">
        <v>65</v>
      </c>
      <c r="S18" s="74">
        <v>28161.701000000001</v>
      </c>
      <c r="T18" s="74">
        <f>S18</f>
        <v>28161.701000000001</v>
      </c>
      <c r="U18" s="74">
        <f>T18</f>
        <v>28161.701000000001</v>
      </c>
      <c r="V18" s="75">
        <f t="shared" si="4"/>
        <v>84485.103000000003</v>
      </c>
      <c r="W18" s="285" t="s">
        <v>121</v>
      </c>
    </row>
    <row r="19" spans="1:23" s="27" customFormat="1" ht="47.25" outlineLevel="1" x14ac:dyDescent="0.25">
      <c r="A19" s="301" t="s">
        <v>244</v>
      </c>
      <c r="B19" s="301"/>
      <c r="C19" s="301"/>
      <c r="D19" s="301"/>
      <c r="E19" s="301"/>
      <c r="F19" s="301"/>
      <c r="G19" s="301"/>
      <c r="H19" s="301"/>
      <c r="I19" s="301"/>
      <c r="J19" s="301"/>
      <c r="K19" s="301"/>
      <c r="L19" s="301"/>
      <c r="P19" s="285"/>
      <c r="Q19" s="283"/>
      <c r="R19" s="271" t="s">
        <v>270</v>
      </c>
      <c r="S19" s="264">
        <f t="shared" ref="S19:U19" si="7">S18</f>
        <v>28161.701000000001</v>
      </c>
      <c r="T19" s="264">
        <f t="shared" si="7"/>
        <v>28161.701000000001</v>
      </c>
      <c r="U19" s="264">
        <f t="shared" si="7"/>
        <v>28161.701000000001</v>
      </c>
      <c r="V19" s="265">
        <f t="shared" si="4"/>
        <v>84485.103000000003</v>
      </c>
      <c r="W19" s="285"/>
    </row>
    <row r="20" spans="1:23" s="26" customFormat="1" ht="78.75" customHeight="1" outlineLevel="1" x14ac:dyDescent="0.25">
      <c r="A20" s="285" t="s">
        <v>85</v>
      </c>
      <c r="B20" s="283" t="s">
        <v>213</v>
      </c>
      <c r="C20" s="266" t="s">
        <v>95</v>
      </c>
      <c r="D20" s="268">
        <v>242</v>
      </c>
      <c r="E20" s="141" t="s">
        <v>214</v>
      </c>
      <c r="F20" s="141" t="s">
        <v>229</v>
      </c>
      <c r="G20" s="268">
        <v>244</v>
      </c>
      <c r="H20" s="195">
        <v>0</v>
      </c>
      <c r="I20" s="74">
        <v>0</v>
      </c>
      <c r="J20" s="74">
        <v>0</v>
      </c>
      <c r="K20" s="75">
        <f t="shared" ref="K20:K21" si="8">SUM(H20:J20)</f>
        <v>0</v>
      </c>
      <c r="L20" s="285"/>
      <c r="P20" s="301" t="s">
        <v>244</v>
      </c>
      <c r="Q20" s="301"/>
      <c r="R20" s="301"/>
      <c r="S20" s="301"/>
      <c r="T20" s="301"/>
      <c r="U20" s="301"/>
      <c r="V20" s="301"/>
      <c r="W20" s="301"/>
    </row>
    <row r="21" spans="1:23" s="26" customFormat="1" ht="141.75" customHeight="1" outlineLevel="1" x14ac:dyDescent="0.25">
      <c r="A21" s="285"/>
      <c r="B21" s="283"/>
      <c r="C21" s="271" t="s">
        <v>230</v>
      </c>
      <c r="D21" s="263" t="s">
        <v>30</v>
      </c>
      <c r="E21" s="263" t="s">
        <v>30</v>
      </c>
      <c r="F21" s="263" t="s">
        <v>30</v>
      </c>
      <c r="G21" s="263" t="s">
        <v>30</v>
      </c>
      <c r="H21" s="264">
        <f>H20</f>
        <v>0</v>
      </c>
      <c r="I21" s="264">
        <f t="shared" ref="I21:I23" si="9">I20</f>
        <v>0</v>
      </c>
      <c r="J21" s="264">
        <f t="shared" ref="J21:J23" si="10">J20</f>
        <v>0</v>
      </c>
      <c r="K21" s="265">
        <f t="shared" si="8"/>
        <v>0</v>
      </c>
      <c r="L21" s="285"/>
      <c r="P21" s="285" t="s">
        <v>85</v>
      </c>
      <c r="Q21" s="283" t="s">
        <v>213</v>
      </c>
      <c r="R21" s="266" t="s">
        <v>95</v>
      </c>
      <c r="S21" s="195">
        <v>0</v>
      </c>
      <c r="T21" s="74">
        <v>0</v>
      </c>
      <c r="U21" s="74">
        <v>0</v>
      </c>
      <c r="V21" s="75">
        <f t="shared" ref="V21:V24" si="11">SUM(S21:U21)</f>
        <v>0</v>
      </c>
      <c r="W21" s="285"/>
    </row>
    <row r="22" spans="1:23" s="26" customFormat="1" ht="78.75" outlineLevel="1" x14ac:dyDescent="0.25">
      <c r="A22" s="285" t="s">
        <v>292</v>
      </c>
      <c r="B22" s="283" t="s">
        <v>266</v>
      </c>
      <c r="C22" s="267" t="s">
        <v>66</v>
      </c>
      <c r="D22" s="268">
        <v>247</v>
      </c>
      <c r="E22" s="141" t="s">
        <v>64</v>
      </c>
      <c r="F22" s="141" t="s">
        <v>265</v>
      </c>
      <c r="G22" s="268">
        <v>540</v>
      </c>
      <c r="H22" s="195"/>
      <c r="I22" s="74"/>
      <c r="J22" s="74"/>
      <c r="K22" s="75">
        <f t="shared" ref="K22:K23" si="12">SUM(H22:J22)</f>
        <v>0</v>
      </c>
      <c r="L22" s="268"/>
      <c r="P22" s="285"/>
      <c r="Q22" s="283"/>
      <c r="R22" s="271" t="s">
        <v>230</v>
      </c>
      <c r="S22" s="264">
        <f>S21</f>
        <v>0</v>
      </c>
      <c r="T22" s="264">
        <f t="shared" ref="T22:U24" si="13">T21</f>
        <v>0</v>
      </c>
      <c r="U22" s="264">
        <f t="shared" si="13"/>
        <v>0</v>
      </c>
      <c r="V22" s="265">
        <f t="shared" si="11"/>
        <v>0</v>
      </c>
      <c r="W22" s="285"/>
    </row>
    <row r="23" spans="1:23" s="26" customFormat="1" ht="157.5" customHeight="1" outlineLevel="1" x14ac:dyDescent="0.25">
      <c r="A23" s="285"/>
      <c r="B23" s="283"/>
      <c r="C23" s="271" t="s">
        <v>230</v>
      </c>
      <c r="D23" s="263" t="s">
        <v>30</v>
      </c>
      <c r="E23" s="263" t="s">
        <v>30</v>
      </c>
      <c r="F23" s="263" t="s">
        <v>30</v>
      </c>
      <c r="G23" s="263" t="s">
        <v>30</v>
      </c>
      <c r="H23" s="264">
        <f>H22</f>
        <v>0</v>
      </c>
      <c r="I23" s="264">
        <f t="shared" si="9"/>
        <v>0</v>
      </c>
      <c r="J23" s="264">
        <f t="shared" si="10"/>
        <v>0</v>
      </c>
      <c r="K23" s="265">
        <f t="shared" si="12"/>
        <v>0</v>
      </c>
      <c r="L23" s="268"/>
      <c r="P23" s="285" t="s">
        <v>292</v>
      </c>
      <c r="Q23" s="283" t="s">
        <v>266</v>
      </c>
      <c r="R23" s="267" t="s">
        <v>66</v>
      </c>
      <c r="S23" s="195"/>
      <c r="T23" s="74"/>
      <c r="U23" s="74"/>
      <c r="V23" s="75">
        <f t="shared" si="11"/>
        <v>0</v>
      </c>
      <c r="W23" s="268"/>
    </row>
    <row r="24" spans="1:23" s="26" customFormat="1" ht="47.25" outlineLevel="1" x14ac:dyDescent="0.25">
      <c r="A24" s="307" t="s">
        <v>293</v>
      </c>
      <c r="B24" s="308"/>
      <c r="C24" s="308"/>
      <c r="D24" s="308"/>
      <c r="E24" s="308"/>
      <c r="F24" s="308"/>
      <c r="G24" s="308"/>
      <c r="H24" s="308"/>
      <c r="I24" s="308"/>
      <c r="J24" s="308"/>
      <c r="K24" s="308"/>
      <c r="L24" s="309"/>
      <c r="P24" s="285"/>
      <c r="Q24" s="283"/>
      <c r="R24" s="271" t="s">
        <v>230</v>
      </c>
      <c r="S24" s="264">
        <f>S23</f>
        <v>0</v>
      </c>
      <c r="T24" s="264">
        <f t="shared" si="13"/>
        <v>0</v>
      </c>
      <c r="U24" s="264">
        <f t="shared" si="13"/>
        <v>0</v>
      </c>
      <c r="V24" s="265">
        <f t="shared" si="11"/>
        <v>0</v>
      </c>
      <c r="W24" s="268"/>
    </row>
    <row r="25" spans="1:23" s="26" customFormat="1" ht="47.25" customHeight="1" outlineLevel="1" x14ac:dyDescent="0.25">
      <c r="A25" s="302" t="s">
        <v>117</v>
      </c>
      <c r="B25" s="290" t="s">
        <v>294</v>
      </c>
      <c r="C25" s="266" t="s">
        <v>65</v>
      </c>
      <c r="D25" s="263" t="s">
        <v>295</v>
      </c>
      <c r="E25" s="263" t="s">
        <v>64</v>
      </c>
      <c r="F25" s="263" t="s">
        <v>296</v>
      </c>
      <c r="G25" s="263"/>
      <c r="H25" s="264">
        <v>4320</v>
      </c>
      <c r="I25" s="264">
        <v>4320</v>
      </c>
      <c r="J25" s="264">
        <v>4320</v>
      </c>
      <c r="K25" s="265">
        <f>SUM(H25:J25)</f>
        <v>12960</v>
      </c>
      <c r="L25" s="268"/>
      <c r="P25" s="307" t="s">
        <v>293</v>
      </c>
      <c r="Q25" s="308"/>
      <c r="R25" s="308"/>
      <c r="S25" s="308"/>
      <c r="T25" s="308"/>
      <c r="U25" s="308"/>
      <c r="V25" s="308"/>
      <c r="W25" s="309"/>
    </row>
    <row r="26" spans="1:23" s="26" customFormat="1" ht="78.75" customHeight="1" outlineLevel="1" x14ac:dyDescent="0.25">
      <c r="A26" s="303"/>
      <c r="B26" s="291"/>
      <c r="C26" s="271" t="s">
        <v>270</v>
      </c>
      <c r="D26" s="263" t="s">
        <v>30</v>
      </c>
      <c r="E26" s="263" t="s">
        <v>30</v>
      </c>
      <c r="F26" s="263" t="s">
        <v>30</v>
      </c>
      <c r="G26" s="263" t="s">
        <v>30</v>
      </c>
      <c r="H26" s="264">
        <f>SUM(H25)</f>
        <v>4320</v>
      </c>
      <c r="I26" s="264">
        <f t="shared" ref="I26:K26" si="14">SUM(I25)</f>
        <v>4320</v>
      </c>
      <c r="J26" s="264">
        <f t="shared" si="14"/>
        <v>4320</v>
      </c>
      <c r="K26" s="264">
        <f t="shared" si="14"/>
        <v>12960</v>
      </c>
      <c r="L26" s="268"/>
      <c r="P26" s="302" t="s">
        <v>117</v>
      </c>
      <c r="Q26" s="290" t="s">
        <v>294</v>
      </c>
      <c r="R26" s="266" t="s">
        <v>65</v>
      </c>
      <c r="S26" s="264">
        <v>4320</v>
      </c>
      <c r="T26" s="264">
        <v>4320</v>
      </c>
      <c r="U26" s="264">
        <v>4320</v>
      </c>
      <c r="V26" s="265">
        <f>SUM(S26:U26)</f>
        <v>12960</v>
      </c>
      <c r="W26" s="268"/>
    </row>
    <row r="27" spans="1:23" s="162" customFormat="1" ht="19.5" customHeight="1" x14ac:dyDescent="0.25">
      <c r="A27" s="272"/>
      <c r="B27" s="273" t="s">
        <v>120</v>
      </c>
      <c r="C27" s="272" t="s">
        <v>30</v>
      </c>
      <c r="D27" s="272" t="s">
        <v>30</v>
      </c>
      <c r="E27" s="272" t="s">
        <v>30</v>
      </c>
      <c r="F27" s="272" t="s">
        <v>30</v>
      </c>
      <c r="G27" s="272" t="s">
        <v>30</v>
      </c>
      <c r="H27" s="265">
        <f>H16+H18+H21+H23+H26</f>
        <v>145058.79399999999</v>
      </c>
      <c r="I27" s="265">
        <f t="shared" ref="I27:K27" si="15">I16+I18+I21+I23+I26</f>
        <v>145058.79399999999</v>
      </c>
      <c r="J27" s="265">
        <f t="shared" si="15"/>
        <v>145058.79399999999</v>
      </c>
      <c r="K27" s="265">
        <f t="shared" si="15"/>
        <v>435176.38199999998</v>
      </c>
      <c r="L27" s="272" t="s">
        <v>30</v>
      </c>
      <c r="P27" s="303"/>
      <c r="Q27" s="291"/>
      <c r="R27" s="271" t="s">
        <v>270</v>
      </c>
      <c r="S27" s="264">
        <f>SUM(S26)</f>
        <v>4320</v>
      </c>
      <c r="T27" s="264">
        <f t="shared" ref="T27:V27" si="16">SUM(T26)</f>
        <v>4320</v>
      </c>
      <c r="U27" s="264">
        <f t="shared" si="16"/>
        <v>4320</v>
      </c>
      <c r="V27" s="264">
        <f t="shared" si="16"/>
        <v>12960</v>
      </c>
      <c r="W27" s="268"/>
    </row>
    <row r="28" spans="1:23" ht="47.25" x14ac:dyDescent="0.25">
      <c r="P28" s="272"/>
      <c r="Q28" s="273" t="s">
        <v>120</v>
      </c>
      <c r="R28" s="272" t="s">
        <v>30</v>
      </c>
      <c r="S28" s="265">
        <f>S17+S19+S22+S24+S27</f>
        <v>145058.79399999999</v>
      </c>
      <c r="T28" s="265">
        <f t="shared" ref="T28:V28" si="17">T17+T19+T22+T24+T27</f>
        <v>145058.79399999999</v>
      </c>
      <c r="U28" s="265">
        <f t="shared" si="17"/>
        <v>145058.79399999999</v>
      </c>
      <c r="V28" s="265">
        <f t="shared" si="17"/>
        <v>435176.38199999998</v>
      </c>
      <c r="W28" s="272" t="s">
        <v>30</v>
      </c>
    </row>
    <row r="29" spans="1:23" x14ac:dyDescent="0.25">
      <c r="H29" s="43">
        <f>H15/1000</f>
        <v>112.57709299999999</v>
      </c>
      <c r="I29" s="43">
        <f>I15/1000</f>
        <v>112.57709299999999</v>
      </c>
      <c r="J29" s="43">
        <f>J15/1000</f>
        <v>112.57709299999999</v>
      </c>
      <c r="K29" s="43">
        <f>K15/1000</f>
        <v>337.73127899999997</v>
      </c>
    </row>
    <row r="30" spans="1:23" s="24" customFormat="1" x14ac:dyDescent="0.25">
      <c r="A30" s="25"/>
      <c r="H30" s="43">
        <f>H17/1000</f>
        <v>28.161701000000001</v>
      </c>
      <c r="I30" s="43">
        <f>I17/1000</f>
        <v>28.161701000000001</v>
      </c>
      <c r="J30" s="43">
        <f>J17/1000</f>
        <v>28.161701000000001</v>
      </c>
      <c r="K30" s="43">
        <f>K17/1000</f>
        <v>84.485103000000009</v>
      </c>
    </row>
    <row r="31" spans="1:23" s="24" customFormat="1" x14ac:dyDescent="0.25">
      <c r="A31" s="25"/>
      <c r="H31" s="43">
        <f t="shared" ref="H31:K31" si="18">H27/1000</f>
        <v>145.05879400000001</v>
      </c>
      <c r="I31" s="43">
        <f t="shared" si="18"/>
        <v>145.05879400000001</v>
      </c>
      <c r="J31" s="43">
        <f t="shared" si="18"/>
        <v>145.05879400000001</v>
      </c>
      <c r="K31" s="43">
        <f t="shared" si="18"/>
        <v>435.17638199999999</v>
      </c>
    </row>
    <row r="32" spans="1:23" s="24" customFormat="1" x14ac:dyDescent="0.25">
      <c r="A32" s="25"/>
    </row>
  </sheetData>
  <autoFilter ref="A10:L29">
    <filterColumn colId="3" showButton="0"/>
    <filterColumn colId="4" showButton="0"/>
    <filterColumn colId="5" showButton="0"/>
    <filterColumn colId="7" showButton="0"/>
    <filterColumn colId="8" showButton="0"/>
    <filterColumn colId="9" showButton="0"/>
  </autoFilter>
  <mergeCells count="51">
    <mergeCell ref="P23:P24"/>
    <mergeCell ref="Q23:Q24"/>
    <mergeCell ref="P25:W25"/>
    <mergeCell ref="P26:P27"/>
    <mergeCell ref="Q26:Q27"/>
    <mergeCell ref="P18:P19"/>
    <mergeCell ref="Q18:Q19"/>
    <mergeCell ref="W18:W19"/>
    <mergeCell ref="P20:W20"/>
    <mergeCell ref="P21:P22"/>
    <mergeCell ref="Q21:Q22"/>
    <mergeCell ref="W21:W22"/>
    <mergeCell ref="P14:W14"/>
    <mergeCell ref="P15:W15"/>
    <mergeCell ref="P16:P17"/>
    <mergeCell ref="Q16:Q17"/>
    <mergeCell ref="W16:W17"/>
    <mergeCell ref="P8:W8"/>
    <mergeCell ref="P9:W9"/>
    <mergeCell ref="P11:P12"/>
    <mergeCell ref="Q11:Q12"/>
    <mergeCell ref="R11:R12"/>
    <mergeCell ref="S11:V11"/>
    <mergeCell ref="W11:W12"/>
    <mergeCell ref="A24:L24"/>
    <mergeCell ref="B25:B26"/>
    <mergeCell ref="A25:A26"/>
    <mergeCell ref="A10:A11"/>
    <mergeCell ref="B10:B11"/>
    <mergeCell ref="L15:L16"/>
    <mergeCell ref="C10:C11"/>
    <mergeCell ref="D10:G10"/>
    <mergeCell ref="H10:K10"/>
    <mergeCell ref="L10:L11"/>
    <mergeCell ref="A13:L13"/>
    <mergeCell ref="A22:A23"/>
    <mergeCell ref="B22:B23"/>
    <mergeCell ref="K1:L1"/>
    <mergeCell ref="A17:A18"/>
    <mergeCell ref="A20:A21"/>
    <mergeCell ref="B20:B21"/>
    <mergeCell ref="A19:L19"/>
    <mergeCell ref="L17:L18"/>
    <mergeCell ref="L20:L21"/>
    <mergeCell ref="B17:B18"/>
    <mergeCell ref="A15:A16"/>
    <mergeCell ref="B15:B16"/>
    <mergeCell ref="A14:L14"/>
    <mergeCell ref="K4:L4"/>
    <mergeCell ref="A7:L7"/>
    <mergeCell ref="A8:L8"/>
  </mergeCells>
  <pageMargins left="0.78740157480314965" right="0.78740157480314965" top="1.1811023622047245" bottom="0.39370078740157483" header="0.31496062992125984" footer="0.31496062992125984"/>
  <pageSetup paperSize="9" scale="63" fitToHeight="0" orientation="landscape" r:id="rId1"/>
  <colBreaks count="1" manualBreakCount="1">
    <brk id="1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0"/>
  <sheetViews>
    <sheetView view="pageBreakPreview" topLeftCell="A4" zoomScale="60" zoomScaleNormal="85" workbookViewId="0">
      <selection activeCell="B15" sqref="B15"/>
    </sheetView>
  </sheetViews>
  <sheetFormatPr defaultRowHeight="15.75" outlineLevelRow="1" x14ac:dyDescent="0.25"/>
  <cols>
    <col min="1" max="1" width="5.375" style="4" customWidth="1"/>
    <col min="2" max="2" width="42.125" style="1" customWidth="1"/>
    <col min="3" max="3" width="11.5" style="4" customWidth="1"/>
    <col min="4" max="4" width="14.875" style="1" customWidth="1"/>
    <col min="5" max="5" width="12.875" style="1" customWidth="1"/>
    <col min="6" max="8" width="14.625" style="1" customWidth="1"/>
    <col min="9" max="16384" width="9" style="1"/>
  </cols>
  <sheetData>
    <row r="1" spans="1:8" ht="78.75" hidden="1" customHeight="1" outlineLevel="1" x14ac:dyDescent="0.25">
      <c r="F1" s="274" t="s">
        <v>258</v>
      </c>
      <c r="G1" s="274"/>
      <c r="H1" s="274"/>
    </row>
    <row r="2" spans="1:8" hidden="1" outlineLevel="1" x14ac:dyDescent="0.25"/>
    <row r="3" spans="1:8" hidden="1" outlineLevel="1" x14ac:dyDescent="0.25"/>
    <row r="4" spans="1:8" ht="78.75" customHeight="1" collapsed="1" x14ac:dyDescent="0.25">
      <c r="F4" s="275" t="s">
        <v>206</v>
      </c>
      <c r="G4" s="275"/>
      <c r="H4" s="275"/>
    </row>
    <row r="5" spans="1:8" ht="18.75" x14ac:dyDescent="0.25">
      <c r="A5" s="10"/>
    </row>
    <row r="6" spans="1:8" ht="18.75" x14ac:dyDescent="0.25">
      <c r="A6" s="10"/>
    </row>
    <row r="7" spans="1:8" ht="18.75" x14ac:dyDescent="0.25">
      <c r="A7" s="278" t="s">
        <v>1</v>
      </c>
      <c r="B7" s="278"/>
      <c r="C7" s="278"/>
      <c r="D7" s="278"/>
      <c r="E7" s="278"/>
      <c r="F7" s="278"/>
      <c r="G7" s="278"/>
      <c r="H7" s="278"/>
    </row>
    <row r="8" spans="1:8" ht="48" customHeight="1" x14ac:dyDescent="0.25">
      <c r="A8" s="289" t="s">
        <v>81</v>
      </c>
      <c r="B8" s="278"/>
      <c r="C8" s="278"/>
      <c r="D8" s="278"/>
      <c r="E8" s="278"/>
      <c r="F8" s="278"/>
      <c r="G8" s="278"/>
      <c r="H8" s="278"/>
    </row>
    <row r="9" spans="1:8" ht="18.75" x14ac:dyDescent="0.25">
      <c r="A9" s="10"/>
    </row>
    <row r="10" spans="1:8" x14ac:dyDescent="0.25">
      <c r="A10" s="279" t="s">
        <v>19</v>
      </c>
      <c r="B10" s="279" t="s">
        <v>46</v>
      </c>
      <c r="C10" s="279" t="s">
        <v>2</v>
      </c>
      <c r="D10" s="279" t="s">
        <v>47</v>
      </c>
      <c r="E10" s="279" t="s">
        <v>48</v>
      </c>
      <c r="F10" s="279"/>
      <c r="G10" s="279"/>
      <c r="H10" s="279"/>
    </row>
    <row r="11" spans="1:8" x14ac:dyDescent="0.25">
      <c r="A11" s="279"/>
      <c r="B11" s="279"/>
      <c r="C11" s="279"/>
      <c r="D11" s="279"/>
      <c r="E11" s="197">
        <v>2019</v>
      </c>
      <c r="F11" s="197">
        <v>2020</v>
      </c>
      <c r="G11" s="259">
        <v>2021</v>
      </c>
      <c r="H11" s="197">
        <v>2022</v>
      </c>
    </row>
    <row r="12" spans="1:8" x14ac:dyDescent="0.25">
      <c r="A12" s="11">
        <v>1</v>
      </c>
      <c r="B12" s="11">
        <v>2</v>
      </c>
      <c r="C12" s="11">
        <v>3</v>
      </c>
      <c r="D12" s="11">
        <v>4</v>
      </c>
      <c r="E12" s="11">
        <v>5</v>
      </c>
      <c r="F12" s="11">
        <v>6</v>
      </c>
      <c r="G12" s="11">
        <v>7</v>
      </c>
      <c r="H12" s="11">
        <v>8</v>
      </c>
    </row>
    <row r="13" spans="1:8" x14ac:dyDescent="0.25">
      <c r="A13" s="288" t="str">
        <f>'пр к ПП3'!A13:L13</f>
        <v>Цель. Снижение числа лиц, погибших в результате ДТП, и количества ДТП с пострадавшими.</v>
      </c>
      <c r="B13" s="288"/>
      <c r="C13" s="288"/>
      <c r="D13" s="288"/>
      <c r="E13" s="288"/>
      <c r="F13" s="288"/>
      <c r="G13" s="288"/>
      <c r="H13" s="288"/>
    </row>
    <row r="14" spans="1:8" ht="41.25" customHeight="1" x14ac:dyDescent="0.25">
      <c r="A14" s="288" t="str">
        <f>'пр к ПП3'!A14:L14</f>
        <v>Задача. 1. Развитие системы организации движения транспортных средств и пешеходов, предупреждение опасного поведения участников дорожного движения.</v>
      </c>
      <c r="B14" s="288"/>
      <c r="C14" s="288"/>
      <c r="D14" s="288"/>
      <c r="E14" s="288"/>
      <c r="F14" s="288"/>
      <c r="G14" s="288"/>
      <c r="H14" s="288"/>
    </row>
    <row r="15" spans="1:8" s="48" customFormat="1" ht="63" x14ac:dyDescent="0.25">
      <c r="A15" s="46" t="s">
        <v>3</v>
      </c>
      <c r="B15" s="21" t="s">
        <v>140</v>
      </c>
      <c r="C15" s="46" t="s">
        <v>142</v>
      </c>
      <c r="D15" s="231" t="s">
        <v>146</v>
      </c>
      <c r="E15" s="232">
        <v>6</v>
      </c>
      <c r="F15" s="232">
        <v>7</v>
      </c>
      <c r="G15" s="232">
        <f t="shared" ref="G15:H15" si="0">G16/G17*100000</f>
        <v>6.5509335080248929</v>
      </c>
      <c r="H15" s="232">
        <f t="shared" si="0"/>
        <v>6.6653335999466776</v>
      </c>
    </row>
    <row r="16" spans="1:8" s="152" customFormat="1" ht="31.5" hidden="1" outlineLevel="1" x14ac:dyDescent="0.25">
      <c r="A16" s="37"/>
      <c r="B16" s="36" t="s">
        <v>82</v>
      </c>
      <c r="C16" s="37"/>
      <c r="D16" s="37"/>
      <c r="E16" s="233">
        <f>'пр к пасп'!I26</f>
        <v>3</v>
      </c>
      <c r="F16" s="233">
        <f>'пр к пасп'!J26</f>
        <v>1</v>
      </c>
      <c r="G16" s="233">
        <f>'пр к пасп'!K26</f>
        <v>1</v>
      </c>
      <c r="H16" s="233">
        <f>'пр к пасп'!L26</f>
        <v>1</v>
      </c>
    </row>
    <row r="17" spans="1:8" s="152" customFormat="1" hidden="1" outlineLevel="1" x14ac:dyDescent="0.25">
      <c r="A17" s="37"/>
      <c r="B17" s="36" t="s">
        <v>125</v>
      </c>
      <c r="C17" s="37"/>
      <c r="D17" s="37"/>
      <c r="E17" s="233">
        <f>'пр к пасп'!I24</f>
        <v>15825</v>
      </c>
      <c r="F17" s="233">
        <f>'пр к пасп'!J24</f>
        <v>15539</v>
      </c>
      <c r="G17" s="233">
        <f>'пр к пасп'!K24</f>
        <v>15265</v>
      </c>
      <c r="H17" s="233">
        <f>'пр к пасп'!L24</f>
        <v>15003</v>
      </c>
    </row>
    <row r="18" spans="1:8" s="152" customFormat="1" hidden="1" outlineLevel="1" x14ac:dyDescent="0.25">
      <c r="A18" s="37"/>
      <c r="B18" s="36" t="s">
        <v>237</v>
      </c>
      <c r="C18" s="37"/>
      <c r="D18" s="37"/>
      <c r="E18" s="233">
        <v>3979</v>
      </c>
      <c r="F18" s="233">
        <f>ROUND(F17/E17*E18,0)</f>
        <v>3907</v>
      </c>
      <c r="G18" s="233">
        <f t="shared" ref="G18:H18" si="1">ROUND(G17/F17*F18,0)</f>
        <v>3838</v>
      </c>
      <c r="H18" s="233">
        <f t="shared" si="1"/>
        <v>3772</v>
      </c>
    </row>
    <row r="19" spans="1:8" s="47" customFormat="1" ht="63" collapsed="1" x14ac:dyDescent="0.25">
      <c r="A19" s="14" t="s">
        <v>84</v>
      </c>
      <c r="B19" s="45" t="s">
        <v>141</v>
      </c>
      <c r="C19" s="44" t="s">
        <v>143</v>
      </c>
      <c r="D19" s="230" t="s">
        <v>146</v>
      </c>
      <c r="E19" s="232">
        <v>3</v>
      </c>
      <c r="F19" s="232">
        <f t="shared" ref="F19:H19" si="2">F16/F18*10000</f>
        <v>2.5595085743537238</v>
      </c>
      <c r="G19" s="232">
        <f t="shared" si="2"/>
        <v>2.6055237102657633</v>
      </c>
      <c r="H19" s="232">
        <f t="shared" si="2"/>
        <v>2.6511134676564159</v>
      </c>
    </row>
    <row r="20" spans="1:8" s="47" customFormat="1" ht="31.5" x14ac:dyDescent="0.25">
      <c r="A20" s="44" t="s">
        <v>86</v>
      </c>
      <c r="B20" s="45" t="s">
        <v>144</v>
      </c>
      <c r="C20" s="44" t="s">
        <v>145</v>
      </c>
      <c r="D20" s="230" t="s">
        <v>146</v>
      </c>
      <c r="E20" s="232">
        <v>0</v>
      </c>
      <c r="F20" s="232">
        <v>0</v>
      </c>
      <c r="G20" s="232">
        <v>0</v>
      </c>
      <c r="H20" s="232">
        <v>0</v>
      </c>
    </row>
  </sheetData>
  <mergeCells count="11">
    <mergeCell ref="F1:H1"/>
    <mergeCell ref="A13:H13"/>
    <mergeCell ref="A14:H14"/>
    <mergeCell ref="F4:H4"/>
    <mergeCell ref="A7:H7"/>
    <mergeCell ref="A8:H8"/>
    <mergeCell ref="A10:A11"/>
    <mergeCell ref="B10:B11"/>
    <mergeCell ref="C10:C11"/>
    <mergeCell ref="D10:D11"/>
    <mergeCell ref="E10:H10"/>
  </mergeCells>
  <pageMargins left="0.78740157480314965" right="0.78740157480314965" top="1.1811023622047245" bottom="0.39370078740157483" header="0.31496062992125984" footer="0.31496062992125984"/>
  <pageSetup paperSize="9" scale="92" fitToHeight="0" orientation="landscape" r:id="rId1"/>
  <rowBreaks count="1" manualBreakCount="1">
    <brk id="16" max="16383" man="1"/>
  </rowBreaks>
  <colBreaks count="1" manualBreakCount="1">
    <brk id="1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L26"/>
  <sheetViews>
    <sheetView view="pageBreakPreview" topLeftCell="A7" zoomScale="85" zoomScaleNormal="85" zoomScaleSheetLayoutView="85" workbookViewId="0">
      <selection activeCell="J34" sqref="J34"/>
    </sheetView>
  </sheetViews>
  <sheetFormatPr defaultRowHeight="18.75" outlineLevelRow="2" x14ac:dyDescent="0.25"/>
  <cols>
    <col min="1" max="1" width="4.75" style="200" customWidth="1"/>
    <col min="2" max="2" width="38.625" style="22" customWidth="1"/>
    <col min="3" max="3" width="23.5" style="22" customWidth="1"/>
    <col min="4" max="4" width="6.125" style="22" customWidth="1"/>
    <col min="5" max="5" width="6.875" style="22" customWidth="1"/>
    <col min="6" max="6" width="12" style="22" customWidth="1"/>
    <col min="7" max="7" width="5.75" style="22" customWidth="1"/>
    <col min="8" max="10" width="9.625" style="22" customWidth="1"/>
    <col min="11" max="11" width="17" style="22" customWidth="1"/>
    <col min="12" max="12" width="24.5" style="22" customWidth="1"/>
    <col min="13" max="16384" width="9" style="22"/>
  </cols>
  <sheetData>
    <row r="1" spans="1:12" ht="84" hidden="1" customHeight="1" outlineLevel="1" x14ac:dyDescent="0.3">
      <c r="K1" s="296" t="s">
        <v>256</v>
      </c>
      <c r="L1" s="296"/>
    </row>
    <row r="2" spans="1:12" hidden="1" outlineLevel="1" x14ac:dyDescent="0.25"/>
    <row r="3" spans="1:12" hidden="1" outlineLevel="1" x14ac:dyDescent="0.25"/>
    <row r="4" spans="1:12" ht="88.5" customHeight="1" collapsed="1" x14ac:dyDescent="0.25">
      <c r="K4" s="297" t="s">
        <v>207</v>
      </c>
      <c r="L4" s="297"/>
    </row>
    <row r="7" spans="1:12" x14ac:dyDescent="0.25">
      <c r="A7" s="300" t="s">
        <v>1</v>
      </c>
      <c r="B7" s="300"/>
      <c r="C7" s="300"/>
      <c r="D7" s="300"/>
      <c r="E7" s="300"/>
      <c r="F7" s="300"/>
      <c r="G7" s="300"/>
      <c r="H7" s="300"/>
      <c r="I7" s="300"/>
      <c r="J7" s="300"/>
      <c r="K7" s="300"/>
      <c r="L7" s="300"/>
    </row>
    <row r="8" spans="1:12" x14ac:dyDescent="0.25">
      <c r="A8" s="300" t="s">
        <v>67</v>
      </c>
      <c r="B8" s="300"/>
      <c r="C8" s="300"/>
      <c r="D8" s="300"/>
      <c r="E8" s="300"/>
      <c r="F8" s="300"/>
      <c r="G8" s="300"/>
      <c r="H8" s="300"/>
      <c r="I8" s="300"/>
      <c r="J8" s="300"/>
      <c r="K8" s="300"/>
      <c r="L8" s="300"/>
    </row>
    <row r="10" spans="1:12" s="26" customFormat="1" ht="15.75" x14ac:dyDescent="0.25">
      <c r="A10" s="285" t="s">
        <v>19</v>
      </c>
      <c r="B10" s="285" t="s">
        <v>49</v>
      </c>
      <c r="C10" s="285" t="s">
        <v>25</v>
      </c>
      <c r="D10" s="285" t="s">
        <v>23</v>
      </c>
      <c r="E10" s="285"/>
      <c r="F10" s="285"/>
      <c r="G10" s="285"/>
      <c r="H10" s="285" t="s">
        <v>50</v>
      </c>
      <c r="I10" s="285"/>
      <c r="J10" s="285"/>
      <c r="K10" s="285"/>
      <c r="L10" s="285" t="s">
        <v>51</v>
      </c>
    </row>
    <row r="11" spans="1:12" s="26" customFormat="1" ht="93" customHeight="1" x14ac:dyDescent="0.25">
      <c r="A11" s="285"/>
      <c r="B11" s="285"/>
      <c r="C11" s="285"/>
      <c r="D11" s="199" t="s">
        <v>25</v>
      </c>
      <c r="E11" s="199" t="s">
        <v>26</v>
      </c>
      <c r="F11" s="199" t="s">
        <v>27</v>
      </c>
      <c r="G11" s="199" t="s">
        <v>28</v>
      </c>
      <c r="H11" s="204">
        <f>'пр 7 к МП'!K$16</f>
        <v>2020</v>
      </c>
      <c r="I11" s="204">
        <f>'пр 7 к МП'!L$16</f>
        <v>2021</v>
      </c>
      <c r="J11" s="204">
        <f>'пр 7 к МП'!M$16</f>
        <v>2022</v>
      </c>
      <c r="K11" s="199" t="s">
        <v>52</v>
      </c>
      <c r="L11" s="285"/>
    </row>
    <row r="12" spans="1:12" s="26" customFormat="1" ht="15.75" x14ac:dyDescent="0.25">
      <c r="A12" s="199">
        <v>1</v>
      </c>
      <c r="B12" s="199">
        <v>2</v>
      </c>
      <c r="C12" s="199">
        <v>3</v>
      </c>
      <c r="D12" s="199">
        <v>4</v>
      </c>
      <c r="E12" s="199">
        <v>5</v>
      </c>
      <c r="F12" s="199">
        <v>6</v>
      </c>
      <c r="G12" s="199">
        <v>7</v>
      </c>
      <c r="H12" s="199">
        <v>8</v>
      </c>
      <c r="I12" s="199">
        <v>9</v>
      </c>
      <c r="J12" s="199">
        <v>10</v>
      </c>
      <c r="K12" s="199">
        <v>11</v>
      </c>
      <c r="L12" s="199">
        <v>12</v>
      </c>
    </row>
    <row r="13" spans="1:12" s="27" customFormat="1" ht="18.75" customHeight="1" x14ac:dyDescent="0.25">
      <c r="A13" s="310" t="s">
        <v>170</v>
      </c>
      <c r="B13" s="310"/>
      <c r="C13" s="310"/>
      <c r="D13" s="310"/>
      <c r="E13" s="310"/>
      <c r="F13" s="310"/>
      <c r="G13" s="310"/>
      <c r="H13" s="310"/>
      <c r="I13" s="310"/>
      <c r="J13" s="310"/>
      <c r="K13" s="310"/>
      <c r="L13" s="310"/>
    </row>
    <row r="14" spans="1:12" s="27" customFormat="1" ht="15.75" x14ac:dyDescent="0.25">
      <c r="A14" s="310" t="s">
        <v>171</v>
      </c>
      <c r="B14" s="310"/>
      <c r="C14" s="310"/>
      <c r="D14" s="310"/>
      <c r="E14" s="310"/>
      <c r="F14" s="310"/>
      <c r="G14" s="310"/>
      <c r="H14" s="310"/>
      <c r="I14" s="310"/>
      <c r="J14" s="310"/>
      <c r="K14" s="310"/>
      <c r="L14" s="310"/>
    </row>
    <row r="15" spans="1:12" s="28" customFormat="1" ht="32.25" hidden="1" customHeight="1" outlineLevel="2" x14ac:dyDescent="0.25">
      <c r="A15" s="285" t="s">
        <v>3</v>
      </c>
      <c r="B15" s="311" t="s">
        <v>238</v>
      </c>
      <c r="C15" s="311" t="s">
        <v>218</v>
      </c>
      <c r="D15" s="312">
        <v>243</v>
      </c>
      <c r="E15" s="313" t="s">
        <v>216</v>
      </c>
      <c r="F15" s="203" t="s">
        <v>215</v>
      </c>
      <c r="G15" s="312">
        <v>244</v>
      </c>
      <c r="H15" s="158">
        <v>0</v>
      </c>
      <c r="I15" s="158">
        <v>0</v>
      </c>
      <c r="J15" s="158">
        <v>0</v>
      </c>
      <c r="K15" s="158">
        <f>SUM(H15:J15)</f>
        <v>0</v>
      </c>
      <c r="L15" s="285"/>
    </row>
    <row r="16" spans="1:12" s="28" customFormat="1" ht="32.25" hidden="1" customHeight="1" outlineLevel="2" x14ac:dyDescent="0.25">
      <c r="A16" s="285"/>
      <c r="B16" s="311"/>
      <c r="C16" s="311"/>
      <c r="D16" s="312"/>
      <c r="E16" s="313"/>
      <c r="F16" s="203" t="s">
        <v>217</v>
      </c>
      <c r="G16" s="312"/>
      <c r="H16" s="158">
        <v>0</v>
      </c>
      <c r="I16" s="158">
        <v>0</v>
      </c>
      <c r="J16" s="158">
        <v>0</v>
      </c>
      <c r="K16" s="158">
        <f>SUM(H16:J16)</f>
        <v>0</v>
      </c>
      <c r="L16" s="285"/>
    </row>
    <row r="17" spans="1:12" s="28" customFormat="1" ht="15.75" hidden="1" outlineLevel="2" x14ac:dyDescent="0.25">
      <c r="A17" s="285"/>
      <c r="B17" s="311"/>
      <c r="C17" s="161" t="s">
        <v>230</v>
      </c>
      <c r="D17" s="126" t="s">
        <v>30</v>
      </c>
      <c r="E17" s="126" t="s">
        <v>30</v>
      </c>
      <c r="F17" s="126" t="s">
        <v>30</v>
      </c>
      <c r="G17" s="126" t="s">
        <v>30</v>
      </c>
      <c r="H17" s="183">
        <f>H15+H16</f>
        <v>0</v>
      </c>
      <c r="I17" s="183">
        <f t="shared" ref="I17:J17" si="0">I15+I16</f>
        <v>0</v>
      </c>
      <c r="J17" s="183">
        <f t="shared" si="0"/>
        <v>0</v>
      </c>
      <c r="K17" s="183">
        <f t="shared" ref="K17" si="1">SUM(H17:J17)</f>
        <v>0</v>
      </c>
      <c r="L17" s="285"/>
    </row>
    <row r="18" spans="1:12" s="28" customFormat="1" ht="72" customHeight="1" outlineLevel="1" collapsed="1" x14ac:dyDescent="0.25">
      <c r="A18" s="285" t="s">
        <v>3</v>
      </c>
      <c r="B18" s="311" t="s">
        <v>289</v>
      </c>
      <c r="C18" s="256" t="s">
        <v>66</v>
      </c>
      <c r="D18" s="257">
        <v>247</v>
      </c>
      <c r="E18" s="258" t="s">
        <v>62</v>
      </c>
      <c r="F18" s="258" t="s">
        <v>290</v>
      </c>
      <c r="G18" s="257">
        <v>540</v>
      </c>
      <c r="H18" s="158">
        <v>0</v>
      </c>
      <c r="I18" s="158">
        <v>0</v>
      </c>
      <c r="J18" s="158">
        <v>0</v>
      </c>
      <c r="K18" s="158">
        <f t="shared" ref="K18" si="2">SUM(H18:J18)</f>
        <v>0</v>
      </c>
      <c r="L18" s="285"/>
    </row>
    <row r="19" spans="1:12" s="28" customFormat="1" ht="15.75" outlineLevel="1" x14ac:dyDescent="0.25">
      <c r="A19" s="285"/>
      <c r="B19" s="311"/>
      <c r="C19" s="161" t="s">
        <v>270</v>
      </c>
      <c r="D19" s="126" t="s">
        <v>30</v>
      </c>
      <c r="E19" s="126" t="s">
        <v>30</v>
      </c>
      <c r="F19" s="126" t="s">
        <v>30</v>
      </c>
      <c r="G19" s="126" t="s">
        <v>30</v>
      </c>
      <c r="H19" s="183">
        <f>H18</f>
        <v>0</v>
      </c>
      <c r="I19" s="183">
        <f t="shared" ref="I19:J19" si="3">I18</f>
        <v>0</v>
      </c>
      <c r="J19" s="183">
        <f t="shared" si="3"/>
        <v>0</v>
      </c>
      <c r="K19" s="183">
        <f t="shared" ref="K19:K22" si="4">SUM(H19:J19)</f>
        <v>0</v>
      </c>
      <c r="L19" s="285"/>
    </row>
    <row r="20" spans="1:12" s="28" customFormat="1" ht="63" outlineLevel="1" x14ac:dyDescent="0.25">
      <c r="A20" s="285" t="s">
        <v>84</v>
      </c>
      <c r="B20" s="311" t="s">
        <v>259</v>
      </c>
      <c r="C20" s="201" t="s">
        <v>260</v>
      </c>
      <c r="D20" s="202">
        <v>244</v>
      </c>
      <c r="E20" s="203" t="s">
        <v>62</v>
      </c>
      <c r="F20" s="203" t="s">
        <v>261</v>
      </c>
      <c r="G20" s="202">
        <v>244</v>
      </c>
      <c r="H20" s="158">
        <v>0</v>
      </c>
      <c r="I20" s="158">
        <v>0</v>
      </c>
      <c r="J20" s="158">
        <v>0</v>
      </c>
      <c r="K20" s="158">
        <f t="shared" si="4"/>
        <v>0</v>
      </c>
      <c r="L20" s="199"/>
    </row>
    <row r="21" spans="1:12" s="28" customFormat="1" ht="15.75" outlineLevel="1" x14ac:dyDescent="0.25">
      <c r="A21" s="285"/>
      <c r="B21" s="311"/>
      <c r="C21" s="161" t="s">
        <v>270</v>
      </c>
      <c r="D21" s="126" t="s">
        <v>30</v>
      </c>
      <c r="E21" s="126" t="s">
        <v>30</v>
      </c>
      <c r="F21" s="126" t="s">
        <v>30</v>
      </c>
      <c r="G21" s="126" t="s">
        <v>30</v>
      </c>
      <c r="H21" s="183">
        <f>H20</f>
        <v>0</v>
      </c>
      <c r="I21" s="183">
        <f t="shared" ref="I21:J21" si="5">I20</f>
        <v>0</v>
      </c>
      <c r="J21" s="183">
        <f t="shared" si="5"/>
        <v>0</v>
      </c>
      <c r="K21" s="183">
        <f t="shared" si="4"/>
        <v>0</v>
      </c>
      <c r="L21" s="199"/>
    </row>
    <row r="22" spans="1:12" x14ac:dyDescent="0.25">
      <c r="A22" s="122"/>
      <c r="B22" s="123" t="s">
        <v>120</v>
      </c>
      <c r="C22" s="122" t="s">
        <v>30</v>
      </c>
      <c r="D22" s="122" t="s">
        <v>30</v>
      </c>
      <c r="E22" s="122" t="s">
        <v>30</v>
      </c>
      <c r="F22" s="122" t="s">
        <v>30</v>
      </c>
      <c r="G22" s="122" t="s">
        <v>30</v>
      </c>
      <c r="H22" s="159">
        <f>H17+H19</f>
        <v>0</v>
      </c>
      <c r="I22" s="159">
        <f t="shared" ref="I22:J22" si="6">I17+I19</f>
        <v>0</v>
      </c>
      <c r="J22" s="159">
        <f t="shared" si="6"/>
        <v>0</v>
      </c>
      <c r="K22" s="159">
        <f t="shared" si="4"/>
        <v>0</v>
      </c>
      <c r="L22" s="122" t="s">
        <v>30</v>
      </c>
    </row>
    <row r="25" spans="1:12" x14ac:dyDescent="0.25">
      <c r="H25" s="43">
        <f>H18/1000</f>
        <v>0</v>
      </c>
      <c r="I25" s="43">
        <f>I18/1000</f>
        <v>0</v>
      </c>
      <c r="J25" s="43">
        <f>J18/1000</f>
        <v>0</v>
      </c>
      <c r="K25" s="43">
        <f>K18/1000</f>
        <v>0</v>
      </c>
    </row>
    <row r="26" spans="1:12" x14ac:dyDescent="0.25">
      <c r="H26" s="43">
        <f>H22/1000</f>
        <v>0</v>
      </c>
      <c r="I26" s="43">
        <f t="shared" ref="I26:K26" si="7">I22/1000</f>
        <v>0</v>
      </c>
      <c r="J26" s="43">
        <f t="shared" si="7"/>
        <v>0</v>
      </c>
      <c r="K26" s="43">
        <f t="shared" si="7"/>
        <v>0</v>
      </c>
    </row>
  </sheetData>
  <autoFilter ref="A10:L14">
    <filterColumn colId="3" showButton="0"/>
    <filterColumn colId="4" showButton="0"/>
    <filterColumn colId="5" showButton="0"/>
    <filterColumn colId="7" showButton="0"/>
    <filterColumn colId="8" showButton="0"/>
    <filterColumn colId="9" showButton="0"/>
  </autoFilter>
  <mergeCells count="24">
    <mergeCell ref="A20:A21"/>
    <mergeCell ref="B20:B21"/>
    <mergeCell ref="G15:G16"/>
    <mergeCell ref="L15:L17"/>
    <mergeCell ref="A18:A19"/>
    <mergeCell ref="B18:B19"/>
    <mergeCell ref="L18:L19"/>
    <mergeCell ref="C15:C16"/>
    <mergeCell ref="B15:B17"/>
    <mergeCell ref="A15:A17"/>
    <mergeCell ref="D15:D16"/>
    <mergeCell ref="E15:E16"/>
    <mergeCell ref="K1:L1"/>
    <mergeCell ref="A14:L14"/>
    <mergeCell ref="A13:L13"/>
    <mergeCell ref="K4:L4"/>
    <mergeCell ref="A7:L7"/>
    <mergeCell ref="A8:L8"/>
    <mergeCell ref="A10:A11"/>
    <mergeCell ref="B10:B11"/>
    <mergeCell ref="C10:C11"/>
    <mergeCell ref="D10:G10"/>
    <mergeCell ref="H10:K10"/>
    <mergeCell ref="L10:L11"/>
  </mergeCells>
  <pageMargins left="0.78740157480314965" right="0.78740157480314965" top="1.1811023622047245" bottom="0.39370078740157483" header="0.31496062992125984" footer="0.31496062992125984"/>
  <pageSetup paperSize="9" scale="72" fitToHeight="0" orientation="landscape" r:id="rId1"/>
  <colBreaks count="1" manualBreakCount="1">
    <brk id="1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2"/>
  <sheetViews>
    <sheetView view="pageBreakPreview" zoomScale="60" zoomScaleNormal="70" workbookViewId="0">
      <selection activeCell="R17" sqref="R16:R17"/>
    </sheetView>
  </sheetViews>
  <sheetFormatPr defaultRowHeight="15.75" x14ac:dyDescent="0.25"/>
  <cols>
    <col min="1" max="1" width="5.375" style="4" customWidth="1"/>
    <col min="2" max="2" width="42.125" style="1" customWidth="1"/>
    <col min="3" max="3" width="11.5" style="4" customWidth="1"/>
    <col min="4" max="4" width="14.875" style="1" customWidth="1"/>
    <col min="5" max="5" width="12.875" style="1" customWidth="1"/>
    <col min="6" max="8" width="12" style="1" customWidth="1"/>
    <col min="9" max="16384" width="9" style="1"/>
  </cols>
  <sheetData>
    <row r="1" spans="1:8" ht="92.25" customHeight="1" x14ac:dyDescent="0.25">
      <c r="F1" s="275" t="s">
        <v>208</v>
      </c>
      <c r="G1" s="275"/>
      <c r="H1" s="275"/>
    </row>
    <row r="2" spans="1:8" ht="18.75" x14ac:dyDescent="0.25">
      <c r="A2" s="51"/>
    </row>
    <row r="3" spans="1:8" ht="18.75" x14ac:dyDescent="0.25">
      <c r="A3" s="51"/>
    </row>
    <row r="4" spans="1:8" ht="18.75" x14ac:dyDescent="0.25">
      <c r="A4" s="278" t="s">
        <v>1</v>
      </c>
      <c r="B4" s="278"/>
      <c r="C4" s="278"/>
      <c r="D4" s="278"/>
      <c r="E4" s="278"/>
      <c r="F4" s="278"/>
      <c r="G4" s="278"/>
      <c r="H4" s="278"/>
    </row>
    <row r="5" spans="1:8" ht="48" customHeight="1" x14ac:dyDescent="0.25">
      <c r="A5" s="289" t="s">
        <v>162</v>
      </c>
      <c r="B5" s="278"/>
      <c r="C5" s="278"/>
      <c r="D5" s="278"/>
      <c r="E5" s="278"/>
      <c r="F5" s="278"/>
      <c r="G5" s="278"/>
      <c r="H5" s="278"/>
    </row>
    <row r="6" spans="1:8" ht="18.75" x14ac:dyDescent="0.25">
      <c r="A6" s="51"/>
    </row>
    <row r="7" spans="1:8" x14ac:dyDescent="0.25">
      <c r="A7" s="279" t="s">
        <v>19</v>
      </c>
      <c r="B7" s="279" t="s">
        <v>46</v>
      </c>
      <c r="C7" s="279" t="s">
        <v>2</v>
      </c>
      <c r="D7" s="279" t="s">
        <v>47</v>
      </c>
      <c r="E7" s="279" t="s">
        <v>48</v>
      </c>
      <c r="F7" s="279"/>
      <c r="G7" s="279"/>
      <c r="H7" s="279"/>
    </row>
    <row r="8" spans="1:8" x14ac:dyDescent="0.25">
      <c r="A8" s="279"/>
      <c r="B8" s="279"/>
      <c r="C8" s="279"/>
      <c r="D8" s="279"/>
      <c r="E8" s="197">
        <v>2019</v>
      </c>
      <c r="F8" s="197">
        <v>2020</v>
      </c>
      <c r="G8" s="197">
        <v>2021</v>
      </c>
      <c r="H8" s="197">
        <v>2022</v>
      </c>
    </row>
    <row r="9" spans="1:8" x14ac:dyDescent="0.25">
      <c r="A9" s="50">
        <v>1</v>
      </c>
      <c r="B9" s="50">
        <v>2</v>
      </c>
      <c r="C9" s="50">
        <v>3</v>
      </c>
      <c r="D9" s="50">
        <v>4</v>
      </c>
      <c r="E9" s="50">
        <v>5</v>
      </c>
      <c r="F9" s="50">
        <v>6</v>
      </c>
      <c r="G9" s="50">
        <v>7</v>
      </c>
      <c r="H9" s="50">
        <v>8</v>
      </c>
    </row>
    <row r="10" spans="1:8" ht="36" customHeight="1" x14ac:dyDescent="0.25">
      <c r="A10" s="314" t="str">
        <f>'пр к ПП4'!A13</f>
        <v>Цель. Формирование доступности внутризоновой, междугородней и международной связи и модернизация существующей телефонной сети.</v>
      </c>
      <c r="B10" s="314"/>
      <c r="C10" s="314"/>
      <c r="D10" s="314"/>
      <c r="E10" s="314"/>
      <c r="F10" s="314"/>
      <c r="G10" s="314"/>
      <c r="H10" s="314"/>
    </row>
    <row r="11" spans="1:8" ht="20.25" customHeight="1" x14ac:dyDescent="0.25">
      <c r="A11" s="314" t="str">
        <f>'пр к ПП4'!A14</f>
        <v>Задача 1. Создание условий, обеспечивающих доступность внутризоновой, междугородней и международной связи.</v>
      </c>
      <c r="B11" s="314"/>
      <c r="C11" s="314"/>
      <c r="D11" s="314"/>
      <c r="E11" s="314"/>
      <c r="F11" s="314"/>
      <c r="G11" s="314"/>
      <c r="H11" s="314"/>
    </row>
    <row r="12" spans="1:8" s="15" customFormat="1" ht="82.5" customHeight="1" x14ac:dyDescent="0.25">
      <c r="A12" s="55" t="s">
        <v>3</v>
      </c>
      <c r="B12" s="78" t="s">
        <v>243</v>
      </c>
      <c r="C12" s="77" t="s">
        <v>74</v>
      </c>
      <c r="D12" s="55" t="s">
        <v>209</v>
      </c>
      <c r="E12" s="154">
        <v>1</v>
      </c>
      <c r="F12" s="154">
        <v>1</v>
      </c>
      <c r="G12" s="154">
        <f t="shared" ref="G12:H12" si="0">F12</f>
        <v>1</v>
      </c>
      <c r="H12" s="154">
        <f t="shared" si="0"/>
        <v>1</v>
      </c>
    </row>
  </sheetData>
  <mergeCells count="10">
    <mergeCell ref="A10:H10"/>
    <mergeCell ref="A11:H11"/>
    <mergeCell ref="F1:H1"/>
    <mergeCell ref="A4:H4"/>
    <mergeCell ref="A5:H5"/>
    <mergeCell ref="A7:A8"/>
    <mergeCell ref="B7:B8"/>
    <mergeCell ref="C7:C8"/>
    <mergeCell ref="D7:D8"/>
    <mergeCell ref="E7:H7"/>
  </mergeCells>
  <pageMargins left="0.78740157480314965" right="0.78740157480314965" top="1.1811023622047245" bottom="0.39370078740157483" header="0.31496062992125984" footer="0.31496062992125984"/>
  <pageSetup paperSize="9" scale="98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5"/>
  <sheetViews>
    <sheetView view="pageBreakPreview" topLeftCell="C4" zoomScale="70" zoomScaleNormal="100" zoomScaleSheetLayoutView="70" workbookViewId="0">
      <selection activeCell="O32" sqref="O32"/>
    </sheetView>
  </sheetViews>
  <sheetFormatPr defaultRowHeight="18.75" outlineLevelRow="1" x14ac:dyDescent="0.25"/>
  <cols>
    <col min="1" max="1" width="4.75" style="22" customWidth="1"/>
    <col min="2" max="2" width="49.625" style="22" customWidth="1"/>
    <col min="3" max="3" width="24.75" style="22" customWidth="1"/>
    <col min="4" max="5" width="7.375" style="22" customWidth="1"/>
    <col min="6" max="6" width="21" style="22" customWidth="1"/>
    <col min="7" max="7" width="5.75" style="22" customWidth="1"/>
    <col min="8" max="9" width="15.25" style="22" bestFit="1" customWidth="1"/>
    <col min="10" max="10" width="13.75" style="22" bestFit="1" customWidth="1"/>
    <col min="11" max="11" width="20" style="22" customWidth="1"/>
    <col min="12" max="12" width="24.5" style="22" customWidth="1"/>
    <col min="13" max="16384" width="9" style="22"/>
  </cols>
  <sheetData>
    <row r="1" spans="1:12" ht="84" hidden="1" customHeight="1" outlineLevel="1" x14ac:dyDescent="0.3">
      <c r="K1" s="296" t="s">
        <v>288</v>
      </c>
      <c r="L1" s="296"/>
    </row>
    <row r="2" spans="1:12" hidden="1" outlineLevel="1" x14ac:dyDescent="0.25"/>
    <row r="3" spans="1:12" hidden="1" outlineLevel="1" x14ac:dyDescent="0.25"/>
    <row r="4" spans="1:12" ht="63" customHeight="1" collapsed="1" x14ac:dyDescent="0.25">
      <c r="K4" s="297" t="s">
        <v>210</v>
      </c>
      <c r="L4" s="297"/>
    </row>
    <row r="5" spans="1:12" x14ac:dyDescent="0.25">
      <c r="A5" s="23"/>
    </row>
    <row r="6" spans="1:12" x14ac:dyDescent="0.25">
      <c r="A6" s="23"/>
    </row>
    <row r="7" spans="1:12" x14ac:dyDescent="0.25">
      <c r="A7" s="300" t="s">
        <v>1</v>
      </c>
      <c r="B7" s="300"/>
      <c r="C7" s="300"/>
      <c r="D7" s="300"/>
      <c r="E7" s="300"/>
      <c r="F7" s="300"/>
      <c r="G7" s="300"/>
      <c r="H7" s="300"/>
      <c r="I7" s="300"/>
      <c r="J7" s="300"/>
      <c r="K7" s="300"/>
      <c r="L7" s="300"/>
    </row>
    <row r="8" spans="1:12" x14ac:dyDescent="0.25">
      <c r="A8" s="300" t="s">
        <v>174</v>
      </c>
      <c r="B8" s="300"/>
      <c r="C8" s="300"/>
      <c r="D8" s="300"/>
      <c r="E8" s="300"/>
      <c r="F8" s="300"/>
      <c r="G8" s="300"/>
      <c r="H8" s="300"/>
      <c r="I8" s="300"/>
      <c r="J8" s="300"/>
      <c r="K8" s="300"/>
      <c r="L8" s="300"/>
    </row>
    <row r="9" spans="1:12" x14ac:dyDescent="0.25">
      <c r="A9" s="23"/>
    </row>
    <row r="10" spans="1:12" s="26" customFormat="1" ht="15.75" x14ac:dyDescent="0.25">
      <c r="A10" s="285" t="s">
        <v>19</v>
      </c>
      <c r="B10" s="285" t="s">
        <v>49</v>
      </c>
      <c r="C10" s="285" t="s">
        <v>25</v>
      </c>
      <c r="D10" s="285" t="s">
        <v>23</v>
      </c>
      <c r="E10" s="285"/>
      <c r="F10" s="285"/>
      <c r="G10" s="285"/>
      <c r="H10" s="285" t="s">
        <v>50</v>
      </c>
      <c r="I10" s="285"/>
      <c r="J10" s="285"/>
      <c r="K10" s="285"/>
      <c r="L10" s="285" t="s">
        <v>51</v>
      </c>
    </row>
    <row r="11" spans="1:12" s="26" customFormat="1" ht="93" customHeight="1" x14ac:dyDescent="0.25">
      <c r="A11" s="285"/>
      <c r="B11" s="285"/>
      <c r="C11" s="285"/>
      <c r="D11" s="191" t="s">
        <v>25</v>
      </c>
      <c r="E11" s="191" t="s">
        <v>26</v>
      </c>
      <c r="F11" s="191" t="s">
        <v>27</v>
      </c>
      <c r="G11" s="191" t="s">
        <v>28</v>
      </c>
      <c r="H11" s="204">
        <f>'пр 7 к МП'!K$16</f>
        <v>2020</v>
      </c>
      <c r="I11" s="204">
        <f>'пр 7 к МП'!L$16</f>
        <v>2021</v>
      </c>
      <c r="J11" s="204">
        <f>'пр 7 к МП'!M$16</f>
        <v>2022</v>
      </c>
      <c r="K11" s="191" t="s">
        <v>52</v>
      </c>
      <c r="L11" s="285"/>
    </row>
    <row r="12" spans="1:12" s="26" customFormat="1" ht="15.75" x14ac:dyDescent="0.25">
      <c r="A12" s="191">
        <v>1</v>
      </c>
      <c r="B12" s="191">
        <v>2</v>
      </c>
      <c r="C12" s="191">
        <v>3</v>
      </c>
      <c r="D12" s="191">
        <v>4</v>
      </c>
      <c r="E12" s="191">
        <v>5</v>
      </c>
      <c r="F12" s="191">
        <v>6</v>
      </c>
      <c r="G12" s="191">
        <v>7</v>
      </c>
      <c r="H12" s="191">
        <v>8</v>
      </c>
      <c r="I12" s="191">
        <v>9</v>
      </c>
      <c r="J12" s="191">
        <v>10</v>
      </c>
      <c r="K12" s="191">
        <v>11</v>
      </c>
      <c r="L12" s="191">
        <v>12</v>
      </c>
    </row>
    <row r="13" spans="1:12" s="27" customFormat="1" ht="18.75" customHeight="1" x14ac:dyDescent="0.25">
      <c r="A13" s="315" t="s">
        <v>172</v>
      </c>
      <c r="B13" s="316"/>
      <c r="C13" s="316"/>
      <c r="D13" s="316"/>
      <c r="E13" s="316"/>
      <c r="F13" s="316"/>
      <c r="G13" s="316"/>
      <c r="H13" s="316"/>
      <c r="I13" s="316"/>
      <c r="J13" s="316"/>
      <c r="K13" s="316"/>
      <c r="L13" s="317"/>
    </row>
    <row r="14" spans="1:12" s="27" customFormat="1" ht="18" customHeight="1" x14ac:dyDescent="0.25">
      <c r="A14" s="315" t="s">
        <v>173</v>
      </c>
      <c r="B14" s="316"/>
      <c r="C14" s="316"/>
      <c r="D14" s="316"/>
      <c r="E14" s="316"/>
      <c r="F14" s="316"/>
      <c r="G14" s="316"/>
      <c r="H14" s="316"/>
      <c r="I14" s="316"/>
      <c r="J14" s="316"/>
      <c r="K14" s="316"/>
      <c r="L14" s="317"/>
    </row>
    <row r="15" spans="1:12" s="28" customFormat="1" ht="67.5" customHeight="1" x14ac:dyDescent="0.25">
      <c r="A15" s="290" t="s">
        <v>3</v>
      </c>
      <c r="B15" s="292" t="s">
        <v>242</v>
      </c>
      <c r="C15" s="191" t="s">
        <v>65</v>
      </c>
      <c r="D15" s="191">
        <v>241</v>
      </c>
      <c r="E15" s="141" t="s">
        <v>68</v>
      </c>
      <c r="F15" s="196" t="s">
        <v>198</v>
      </c>
      <c r="G15" s="191">
        <v>244</v>
      </c>
      <c r="H15" s="262">
        <v>10600</v>
      </c>
      <c r="I15" s="262">
        <f>H15</f>
        <v>10600</v>
      </c>
      <c r="J15" s="262">
        <f>I15</f>
        <v>10600</v>
      </c>
      <c r="K15" s="75">
        <f t="shared" ref="K15:K16" si="0">SUM(H15:J15)</f>
        <v>31800</v>
      </c>
      <c r="L15" s="290" t="s">
        <v>147</v>
      </c>
    </row>
    <row r="16" spans="1:12" s="28" customFormat="1" ht="15.75" x14ac:dyDescent="0.25">
      <c r="A16" s="291"/>
      <c r="B16" s="293"/>
      <c r="C16" s="161" t="s">
        <v>270</v>
      </c>
      <c r="D16" s="126" t="s">
        <v>30</v>
      </c>
      <c r="E16" s="126" t="s">
        <v>30</v>
      </c>
      <c r="F16" s="126" t="s">
        <v>30</v>
      </c>
      <c r="G16" s="126" t="s">
        <v>30</v>
      </c>
      <c r="H16" s="127">
        <f>H15</f>
        <v>10600</v>
      </c>
      <c r="I16" s="127">
        <f t="shared" ref="I16:J16" si="1">I15</f>
        <v>10600</v>
      </c>
      <c r="J16" s="127">
        <f t="shared" si="1"/>
        <v>10600</v>
      </c>
      <c r="K16" s="142">
        <f t="shared" si="0"/>
        <v>31800</v>
      </c>
      <c r="L16" s="291"/>
    </row>
    <row r="17" spans="1:19" s="28" customFormat="1" ht="33.75" customHeight="1" outlineLevel="1" x14ac:dyDescent="0.25">
      <c r="A17" s="290" t="s">
        <v>84</v>
      </c>
      <c r="B17" s="292" t="s">
        <v>248</v>
      </c>
      <c r="C17" s="290" t="s">
        <v>95</v>
      </c>
      <c r="D17" s="290">
        <v>242</v>
      </c>
      <c r="E17" s="298" t="s">
        <v>251</v>
      </c>
      <c r="F17" s="196" t="s">
        <v>249</v>
      </c>
      <c r="G17" s="290">
        <v>244</v>
      </c>
      <c r="H17" s="74"/>
      <c r="I17" s="74"/>
      <c r="J17" s="74"/>
      <c r="K17" s="75">
        <f t="shared" ref="K17:K19" si="2">SUM(H17:J17)</f>
        <v>0</v>
      </c>
      <c r="L17" s="290" t="s">
        <v>147</v>
      </c>
    </row>
    <row r="18" spans="1:19" s="28" customFormat="1" ht="33.75" customHeight="1" outlineLevel="1" x14ac:dyDescent="0.25">
      <c r="A18" s="294"/>
      <c r="B18" s="295"/>
      <c r="C18" s="291"/>
      <c r="D18" s="291"/>
      <c r="E18" s="299"/>
      <c r="F18" s="196" t="s">
        <v>250</v>
      </c>
      <c r="G18" s="291"/>
      <c r="H18" s="74"/>
      <c r="I18" s="74"/>
      <c r="J18" s="74"/>
      <c r="K18" s="75">
        <f t="shared" si="2"/>
        <v>0</v>
      </c>
      <c r="L18" s="294"/>
    </row>
    <row r="19" spans="1:19" s="28" customFormat="1" ht="15.75" outlineLevel="1" x14ac:dyDescent="0.25">
      <c r="A19" s="291"/>
      <c r="B19" s="293"/>
      <c r="C19" s="126" t="s">
        <v>230</v>
      </c>
      <c r="D19" s="126" t="s">
        <v>30</v>
      </c>
      <c r="E19" s="126" t="s">
        <v>30</v>
      </c>
      <c r="F19" s="126" t="s">
        <v>30</v>
      </c>
      <c r="G19" s="126" t="s">
        <v>30</v>
      </c>
      <c r="H19" s="127">
        <f>H17+H18</f>
        <v>0</v>
      </c>
      <c r="I19" s="127">
        <f t="shared" ref="I19:J19" si="3">I17+I18</f>
        <v>0</v>
      </c>
      <c r="J19" s="127">
        <f t="shared" si="3"/>
        <v>0</v>
      </c>
      <c r="K19" s="142">
        <f t="shared" si="2"/>
        <v>0</v>
      </c>
      <c r="L19" s="291"/>
    </row>
    <row r="20" spans="1:19" x14ac:dyDescent="0.25">
      <c r="A20" s="122"/>
      <c r="B20" s="123" t="s">
        <v>120</v>
      </c>
      <c r="C20" s="122" t="s">
        <v>30</v>
      </c>
      <c r="D20" s="122" t="s">
        <v>30</v>
      </c>
      <c r="E20" s="122" t="s">
        <v>30</v>
      </c>
      <c r="F20" s="122" t="s">
        <v>30</v>
      </c>
      <c r="G20" s="122" t="s">
        <v>30</v>
      </c>
      <c r="H20" s="124">
        <f>H16+H19</f>
        <v>10600</v>
      </c>
      <c r="I20" s="124">
        <f t="shared" ref="I20:J20" si="4">I16+I19</f>
        <v>10600</v>
      </c>
      <c r="J20" s="124">
        <f t="shared" si="4"/>
        <v>10600</v>
      </c>
      <c r="K20" s="124">
        <f>SUM(H20:J20)</f>
        <v>31800</v>
      </c>
      <c r="L20" s="143" t="s">
        <v>30</v>
      </c>
      <c r="S20" s="22" t="s">
        <v>226</v>
      </c>
    </row>
    <row r="21" spans="1:19" x14ac:dyDescent="0.25">
      <c r="H21" s="120"/>
    </row>
    <row r="22" spans="1:19" x14ac:dyDescent="0.25">
      <c r="H22" s="120"/>
    </row>
    <row r="25" spans="1:19" x14ac:dyDescent="0.25">
      <c r="F25" s="118"/>
      <c r="G25" s="118"/>
      <c r="H25" s="119"/>
    </row>
  </sheetData>
  <autoFilter ref="A10:L14">
    <filterColumn colId="3" showButton="0"/>
    <filterColumn colId="4" showButton="0"/>
    <filterColumn colId="5" showButton="0"/>
    <filterColumn colId="7" showButton="0"/>
    <filterColumn colId="8" showButton="0"/>
    <filterColumn colId="9" showButton="0"/>
  </autoFilter>
  <mergeCells count="22">
    <mergeCell ref="L10:L11"/>
    <mergeCell ref="A10:A11"/>
    <mergeCell ref="B10:B11"/>
    <mergeCell ref="C10:C11"/>
    <mergeCell ref="D10:G10"/>
    <mergeCell ref="H10:K10"/>
    <mergeCell ref="K1:L1"/>
    <mergeCell ref="A17:A19"/>
    <mergeCell ref="B17:B19"/>
    <mergeCell ref="L17:L19"/>
    <mergeCell ref="C17:C18"/>
    <mergeCell ref="D17:D18"/>
    <mergeCell ref="E17:E18"/>
    <mergeCell ref="G17:G18"/>
    <mergeCell ref="B15:B16"/>
    <mergeCell ref="A15:A16"/>
    <mergeCell ref="L15:L16"/>
    <mergeCell ref="A14:L14"/>
    <mergeCell ref="A13:L13"/>
    <mergeCell ref="K4:L4"/>
    <mergeCell ref="A7:L7"/>
    <mergeCell ref="A8:L8"/>
  </mergeCells>
  <pageMargins left="0.78740157480314965" right="0.78740157480314965" top="1.1811023622047245" bottom="0.39370078740157483" header="0.31496062992125984" footer="0.31496062992125984"/>
  <pageSetup paperSize="9" scale="57" fitToHeight="0" orientation="landscape" r:id="rId1"/>
  <colBreaks count="1" manualBreakCount="1">
    <brk id="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16</vt:i4>
      </vt:variant>
      <vt:variant>
        <vt:lpstr>Именованные диапазоны</vt:lpstr>
      </vt:variant>
      <vt:variant>
        <vt:i4>19</vt:i4>
      </vt:variant>
    </vt:vector>
  </HeadingPairs>
  <TitlesOfParts>
    <vt:vector size="35" baseType="lpstr">
      <vt:lpstr>пр к пасп</vt:lpstr>
      <vt:lpstr>пр к пасп ПП1</vt:lpstr>
      <vt:lpstr>пр к ПП1</vt:lpstr>
      <vt:lpstr>пр к пасп ПП2</vt:lpstr>
      <vt:lpstr>пр к ПП2</vt:lpstr>
      <vt:lpstr>пр к пасп ПП3</vt:lpstr>
      <vt:lpstr>пр к ПП3</vt:lpstr>
      <vt:lpstr>пр к пасп ПП4</vt:lpstr>
      <vt:lpstr>пр к ПП4</vt:lpstr>
      <vt:lpstr>пр 5 к МП</vt:lpstr>
      <vt:lpstr>пр 6 к МП</vt:lpstr>
      <vt:lpstr>пр 7 к МП</vt:lpstr>
      <vt:lpstr>пп1</vt:lpstr>
      <vt:lpstr>пп2</vt:lpstr>
      <vt:lpstr>пп3</vt:lpstr>
      <vt:lpstr>пп4</vt:lpstr>
      <vt:lpstr>'пр 5 к МП'!Заголовки_для_печати</vt:lpstr>
      <vt:lpstr>'пр 6 к МП'!Заголовки_для_печати</vt:lpstr>
      <vt:lpstr>'пр 7 к МП'!Заголовки_для_печати</vt:lpstr>
      <vt:lpstr>'пр к пасп'!Заголовки_для_печати</vt:lpstr>
      <vt:lpstr>'пр к пасп ПП1'!Заголовки_для_печати</vt:lpstr>
      <vt:lpstr>'пр к пасп ПП2'!Заголовки_для_печати</vt:lpstr>
      <vt:lpstr>'пр к пасп ПП3'!Заголовки_для_печати</vt:lpstr>
      <vt:lpstr>'пр к пасп ПП4'!Заголовки_для_печати</vt:lpstr>
      <vt:lpstr>'пр к ПП1'!Заголовки_для_печати</vt:lpstr>
      <vt:lpstr>'пр к ПП3'!Заголовки_для_печати</vt:lpstr>
      <vt:lpstr>'пр 6 к МП'!Область_печати</vt:lpstr>
      <vt:lpstr>'пр 7 к МП'!Область_печати</vt:lpstr>
      <vt:lpstr>'пр к пасп'!Область_печати</vt:lpstr>
      <vt:lpstr>'пр к пасп ПП1'!Область_печати</vt:lpstr>
      <vt:lpstr>'пр к пасп ПП2'!Область_печати</vt:lpstr>
      <vt:lpstr>'пр к ПП1'!Область_печати</vt:lpstr>
      <vt:lpstr>'пр к ПП2'!Область_печати</vt:lpstr>
      <vt:lpstr>'пр к ПП3'!Область_печати</vt:lpstr>
      <vt:lpstr>'пр к ПП4'!Область_печати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 Л. Моховикова</dc:creator>
  <cp:lastModifiedBy>Елена М.Нагорная</cp:lastModifiedBy>
  <cp:lastPrinted>2019-11-15T04:12:07Z</cp:lastPrinted>
  <dcterms:created xsi:type="dcterms:W3CDTF">2016-10-20T04:37:12Z</dcterms:created>
  <dcterms:modified xsi:type="dcterms:W3CDTF">2020-10-15T09:31:05Z</dcterms:modified>
</cp:coreProperties>
</file>