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" sheetId="8" r:id="rId1"/>
    <sheet name="2" sheetId="5" r:id="rId2"/>
    <sheet name="3" sheetId="6" r:id="rId3"/>
    <sheet name="4" sheetId="7" r:id="rId4"/>
    <sheet name="5  ассигнования" sheetId="1" r:id="rId5"/>
    <sheet name="6 целевые показатели" sheetId="2" r:id="rId6"/>
    <sheet name="7 показатели результативности" sheetId="4" r:id="rId7"/>
    <sheet name="8 свод" sheetId="3" r:id="rId8"/>
  </sheets>
  <definedNames>
    <definedName name="_xlnm.Print_Titles" localSheetId="0">'1'!$6:$7</definedName>
    <definedName name="_xlnm.Print_Titles" localSheetId="1">'2'!$10:$13</definedName>
    <definedName name="_xlnm.Print_Titles" localSheetId="2">'3'!$12:$16</definedName>
    <definedName name="_xlnm.Print_Titles" localSheetId="3">'4'!$11:$14</definedName>
    <definedName name="_xlnm.Print_Titles" localSheetId="4">'5  ассигнования'!$6:$8</definedName>
    <definedName name="_xlnm.Print_Titles" localSheetId="5">'6 целевые показатели'!$6:$7</definedName>
    <definedName name="_xlnm.Print_Titles" localSheetId="6">'7 показатели результативности'!$6:$7</definedName>
    <definedName name="_xlnm.Print_Area" localSheetId="1">'2'!$A$2:$M$60</definedName>
    <definedName name="_xlnm.Print_Area" localSheetId="2">'3'!$A$2:$Q$83</definedName>
    <definedName name="_xlnm.Print_Area" localSheetId="3">'4'!$A$2:$M$87</definedName>
  </definedNames>
  <calcPr calcId="152511"/>
</workbook>
</file>

<file path=xl/calcChain.xml><?xml version="1.0" encoding="utf-8"?>
<calcChain xmlns="http://schemas.openxmlformats.org/spreadsheetml/2006/main">
  <c r="U21" i="5" l="1"/>
  <c r="U19" i="5"/>
  <c r="U17" i="5"/>
  <c r="U14" i="5"/>
  <c r="T40" i="5"/>
  <c r="D39" i="5"/>
  <c r="D22" i="5"/>
  <c r="D36" i="5"/>
  <c r="D35" i="5"/>
  <c r="D34" i="5"/>
  <c r="D20" i="5"/>
  <c r="D31" i="5"/>
  <c r="D30" i="5"/>
  <c r="D18" i="5"/>
  <c r="D27" i="5"/>
  <c r="D26" i="5"/>
  <c r="D25" i="5"/>
  <c r="D16" i="5"/>
  <c r="D15" i="5"/>
  <c r="T21" i="5"/>
  <c r="T19" i="5"/>
  <c r="T17" i="5"/>
  <c r="T14" i="5"/>
  <c r="T38" i="5"/>
  <c r="T33" i="5"/>
  <c r="T29" i="5"/>
  <c r="T24" i="5"/>
  <c r="S23" i="5"/>
  <c r="S13" i="5"/>
  <c r="S21" i="5"/>
  <c r="S19" i="5"/>
  <c r="S17" i="5"/>
  <c r="S14" i="5"/>
  <c r="S38" i="5"/>
  <c r="S33" i="5"/>
  <c r="S29" i="5"/>
  <c r="S24" i="5"/>
  <c r="A23" i="3" l="1"/>
  <c r="A22" i="3"/>
  <c r="A38" i="4"/>
  <c r="A37" i="4"/>
  <c r="A21" i="2"/>
  <c r="A20" i="2"/>
  <c r="A35" i="1"/>
  <c r="A34" i="1"/>
  <c r="A87" i="7"/>
  <c r="A86" i="7"/>
  <c r="A83" i="6"/>
  <c r="A82" i="6"/>
  <c r="A60" i="5"/>
  <c r="A59" i="5"/>
  <c r="L64" i="6"/>
  <c r="A64" i="6"/>
  <c r="M42" i="5"/>
  <c r="A42" i="5"/>
  <c r="I25" i="5" l="1"/>
  <c r="Q31" i="5" l="1"/>
  <c r="R31" i="5" s="1"/>
  <c r="G31" i="5"/>
  <c r="J31" i="5" l="1"/>
  <c r="I70" i="5"/>
  <c r="C18" i="1"/>
  <c r="C26" i="1"/>
  <c r="C25" i="1"/>
  <c r="C23" i="1"/>
  <c r="C22" i="1"/>
  <c r="C21" i="1"/>
  <c r="C19" i="1"/>
  <c r="C12" i="1"/>
  <c r="C13" i="1"/>
  <c r="C14" i="1"/>
  <c r="C15" i="1"/>
  <c r="C11" i="1"/>
  <c r="D9" i="8" l="1"/>
  <c r="E9" i="8"/>
  <c r="D10" i="8"/>
  <c r="E10" i="8"/>
  <c r="D12" i="8"/>
  <c r="E12" i="8"/>
  <c r="D13" i="8"/>
  <c r="E13" i="8"/>
  <c r="D15" i="8"/>
  <c r="E15" i="8"/>
  <c r="D16" i="8"/>
  <c r="E16" i="8"/>
  <c r="D17" i="8"/>
  <c r="E17" i="8"/>
  <c r="D19" i="8"/>
  <c r="E19" i="8"/>
  <c r="D20" i="8"/>
  <c r="E20" i="8"/>
  <c r="D22" i="8"/>
  <c r="D23" i="8"/>
  <c r="D24" i="8"/>
  <c r="E24" i="8"/>
  <c r="D26" i="8"/>
  <c r="E26" i="8"/>
  <c r="C11" i="8"/>
  <c r="C12" i="8"/>
  <c r="C13" i="8"/>
  <c r="C15" i="8"/>
  <c r="C16" i="8"/>
  <c r="C17" i="8"/>
  <c r="C19" i="8"/>
  <c r="C20" i="8"/>
  <c r="C22" i="8"/>
  <c r="C23" i="8"/>
  <c r="C24" i="8"/>
  <c r="C26" i="8"/>
  <c r="B26" i="8"/>
  <c r="B22" i="8"/>
  <c r="B23" i="8"/>
  <c r="B24" i="8"/>
  <c r="B15" i="8"/>
  <c r="B16" i="8"/>
  <c r="B17" i="8"/>
  <c r="B19" i="8"/>
  <c r="B20" i="8"/>
  <c r="B13" i="8"/>
  <c r="B11" i="8"/>
  <c r="B12" i="8"/>
  <c r="C10" i="8"/>
  <c r="C9" i="8"/>
  <c r="B9" i="8"/>
  <c r="F9" i="8" l="1"/>
  <c r="F26" i="8"/>
  <c r="F10" i="8"/>
  <c r="F20" i="8"/>
  <c r="F12" i="8"/>
  <c r="F19" i="8"/>
  <c r="F16" i="8"/>
  <c r="F13" i="8"/>
  <c r="F17" i="8"/>
  <c r="F15" i="8"/>
  <c r="F70" i="5" l="1"/>
  <c r="F71" i="5" s="1"/>
  <c r="G70" i="5"/>
  <c r="G71" i="5" s="1"/>
  <c r="G18" i="5" s="1"/>
  <c r="I71" i="5"/>
  <c r="I18" i="5" s="1"/>
  <c r="D11" i="8" s="1"/>
  <c r="J70" i="5"/>
  <c r="J71" i="5" s="1"/>
  <c r="J18" i="5" s="1"/>
  <c r="E11" i="8" s="1"/>
  <c r="K70" i="5"/>
  <c r="K71" i="5" s="1"/>
  <c r="L70" i="5"/>
  <c r="L71" i="5" s="1"/>
  <c r="F11" i="8" l="1"/>
  <c r="E70" i="5"/>
  <c r="E71" i="5" s="1"/>
  <c r="E18" i="5" s="1"/>
  <c r="L64" i="5" l="1"/>
  <c r="K64" i="5"/>
  <c r="J64" i="5"/>
  <c r="I64" i="5"/>
  <c r="H64" i="5"/>
  <c r="G64" i="5"/>
  <c r="F62" i="5"/>
  <c r="F66" i="5" s="1"/>
  <c r="G62" i="5"/>
  <c r="G66" i="5" s="1"/>
  <c r="H62" i="5"/>
  <c r="H66" i="5" s="1"/>
  <c r="H34" i="5" s="1"/>
  <c r="I62" i="5"/>
  <c r="I66" i="5" s="1"/>
  <c r="J62" i="5"/>
  <c r="J66" i="5" s="1"/>
  <c r="J34" i="5" s="1"/>
  <c r="E22" i="8" s="1"/>
  <c r="F22" i="8" s="1"/>
  <c r="K62" i="5"/>
  <c r="K66" i="5" s="1"/>
  <c r="L62" i="5"/>
  <c r="L66" i="5" s="1"/>
  <c r="E62" i="5"/>
  <c r="E66" i="5" s="1"/>
  <c r="H31" i="5"/>
  <c r="H70" i="5" s="1"/>
  <c r="H71" i="5" s="1"/>
  <c r="H18" i="5" s="1"/>
  <c r="E67" i="5" l="1"/>
  <c r="H67" i="5"/>
  <c r="H35" i="5" s="1"/>
  <c r="L67" i="5"/>
  <c r="I67" i="5"/>
  <c r="F67" i="5"/>
  <c r="G67" i="5"/>
  <c r="J67" i="5"/>
  <c r="J35" i="5" s="1"/>
  <c r="E23" i="8" s="1"/>
  <c r="F23" i="8" s="1"/>
  <c r="K67" i="5"/>
  <c r="A38" i="5"/>
  <c r="A33" i="5"/>
  <c r="A29" i="5"/>
  <c r="A24" i="5"/>
  <c r="D22" i="4"/>
  <c r="C22" i="4"/>
  <c r="B22" i="4"/>
  <c r="A22" i="4"/>
  <c r="A19" i="4" l="1"/>
  <c r="B19" i="4"/>
  <c r="C19" i="4"/>
  <c r="D19" i="4"/>
  <c r="A20" i="4"/>
  <c r="B20" i="4"/>
  <c r="C20" i="4"/>
  <c r="D20" i="4"/>
  <c r="D18" i="4"/>
  <c r="C18" i="4"/>
  <c r="B18" i="4"/>
  <c r="A18" i="4"/>
  <c r="A17" i="4"/>
  <c r="A16" i="4"/>
  <c r="B16" i="4"/>
  <c r="C16" i="4"/>
  <c r="D16" i="4"/>
  <c r="D15" i="4"/>
  <c r="C15" i="4"/>
  <c r="B15" i="4"/>
  <c r="A15" i="4"/>
  <c r="A21" i="4"/>
  <c r="A14" i="4"/>
  <c r="A10" i="4"/>
  <c r="A12" i="4"/>
  <c r="B12" i="4"/>
  <c r="C12" i="4"/>
  <c r="D12" i="4"/>
  <c r="A13" i="4"/>
  <c r="B13" i="4"/>
  <c r="C13" i="4"/>
  <c r="D13" i="4"/>
  <c r="D11" i="4"/>
  <c r="C11" i="4"/>
  <c r="B11" i="4"/>
  <c r="A11" i="4"/>
  <c r="C14" i="2"/>
  <c r="D14" i="2"/>
  <c r="C12" i="2"/>
  <c r="D12" i="2"/>
  <c r="C13" i="2"/>
  <c r="D13" i="2"/>
  <c r="A14" i="2"/>
  <c r="B14" i="2"/>
  <c r="A13" i="2"/>
  <c r="B13" i="2"/>
  <c r="B12" i="2"/>
  <c r="A12" i="2"/>
  <c r="D10" i="2"/>
  <c r="D11" i="2"/>
  <c r="C11" i="2"/>
  <c r="C10" i="2"/>
  <c r="B11" i="2"/>
  <c r="B10" i="2"/>
  <c r="A10" i="2"/>
  <c r="F13" i="2" l="1"/>
  <c r="F14" i="2"/>
  <c r="F12" i="2"/>
  <c r="A24" i="1"/>
  <c r="A20" i="1"/>
  <c r="A16" i="1"/>
  <c r="A10" i="1"/>
  <c r="C43" i="7" l="1"/>
  <c r="C36" i="7"/>
  <c r="C29" i="7"/>
  <c r="C22" i="7"/>
  <c r="C15" i="7"/>
  <c r="F17" i="7" l="1"/>
  <c r="G17" i="7"/>
  <c r="H17" i="7"/>
  <c r="I17" i="7"/>
  <c r="J17" i="7"/>
  <c r="K17" i="7"/>
  <c r="L17" i="7"/>
  <c r="F18" i="7"/>
  <c r="G18" i="7"/>
  <c r="H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F21" i="7"/>
  <c r="G21" i="7"/>
  <c r="H21" i="7"/>
  <c r="I21" i="7"/>
  <c r="J21" i="7"/>
  <c r="K21" i="7"/>
  <c r="L21" i="7"/>
  <c r="E18" i="7"/>
  <c r="E19" i="7"/>
  <c r="E20" i="7"/>
  <c r="E21" i="7"/>
  <c r="E17" i="7"/>
  <c r="L43" i="7"/>
  <c r="K43" i="7"/>
  <c r="J43" i="7"/>
  <c r="I43" i="7"/>
  <c r="H43" i="7"/>
  <c r="G43" i="7"/>
  <c r="F43" i="7"/>
  <c r="E43" i="7"/>
  <c r="E93" i="7" s="1"/>
  <c r="L36" i="7"/>
  <c r="K36" i="7"/>
  <c r="J36" i="7"/>
  <c r="I36" i="7"/>
  <c r="H36" i="7"/>
  <c r="G36" i="7"/>
  <c r="F36" i="7"/>
  <c r="E36" i="7"/>
  <c r="E92" i="7" s="1"/>
  <c r="L29" i="7"/>
  <c r="K29" i="7"/>
  <c r="J29" i="7"/>
  <c r="I29" i="7"/>
  <c r="H29" i="7"/>
  <c r="G29" i="7"/>
  <c r="F29" i="7"/>
  <c r="E29" i="7"/>
  <c r="E91" i="7" s="1"/>
  <c r="E11" i="7"/>
  <c r="I13" i="6"/>
  <c r="G10" i="5"/>
  <c r="K13" i="6" s="1"/>
  <c r="L22" i="7"/>
  <c r="L90" i="7" s="1"/>
  <c r="K22" i="7"/>
  <c r="J22" i="7"/>
  <c r="I22" i="7"/>
  <c r="H22" i="7"/>
  <c r="H90" i="7" s="1"/>
  <c r="G22" i="7"/>
  <c r="F22" i="7"/>
  <c r="E22" i="7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J22" i="6"/>
  <c r="K22" i="6"/>
  <c r="L22" i="6"/>
  <c r="M22" i="6"/>
  <c r="N22" i="6"/>
  <c r="O22" i="6"/>
  <c r="P22" i="6"/>
  <c r="J23" i="6"/>
  <c r="K23" i="6"/>
  <c r="L23" i="6"/>
  <c r="M23" i="6"/>
  <c r="N23" i="6"/>
  <c r="O23" i="6"/>
  <c r="P23" i="6"/>
  <c r="J24" i="6"/>
  <c r="K24" i="6"/>
  <c r="L24" i="6"/>
  <c r="M24" i="6"/>
  <c r="N24" i="6"/>
  <c r="O24" i="6"/>
  <c r="P24" i="6"/>
  <c r="J25" i="6"/>
  <c r="K25" i="6"/>
  <c r="L25" i="6"/>
  <c r="M25" i="6"/>
  <c r="N25" i="6"/>
  <c r="O25" i="6"/>
  <c r="P25" i="6"/>
  <c r="I20" i="6"/>
  <c r="I21" i="6"/>
  <c r="I22" i="6"/>
  <c r="I23" i="6"/>
  <c r="I24" i="6"/>
  <c r="I25" i="6"/>
  <c r="I19" i="6"/>
  <c r="P53" i="6"/>
  <c r="O53" i="6"/>
  <c r="N53" i="6"/>
  <c r="M53" i="6"/>
  <c r="L53" i="6"/>
  <c r="K53" i="6"/>
  <c r="J53" i="6"/>
  <c r="I53" i="6"/>
  <c r="P44" i="6"/>
  <c r="O44" i="6"/>
  <c r="N44" i="6"/>
  <c r="M44" i="6"/>
  <c r="L44" i="6"/>
  <c r="K44" i="6"/>
  <c r="J44" i="6"/>
  <c r="I44" i="6"/>
  <c r="P35" i="6"/>
  <c r="O35" i="6"/>
  <c r="N35" i="6"/>
  <c r="M35" i="6"/>
  <c r="L35" i="6"/>
  <c r="K35" i="6"/>
  <c r="J35" i="6"/>
  <c r="I35" i="6"/>
  <c r="I26" i="6"/>
  <c r="J26" i="6"/>
  <c r="K26" i="6"/>
  <c r="L26" i="6"/>
  <c r="M26" i="6"/>
  <c r="N26" i="6"/>
  <c r="O26" i="6"/>
  <c r="P26" i="6"/>
  <c r="J90" i="7" l="1"/>
  <c r="K92" i="7"/>
  <c r="I90" i="7"/>
  <c r="L92" i="7"/>
  <c r="I91" i="7"/>
  <c r="I92" i="7"/>
  <c r="I93" i="7"/>
  <c r="J91" i="7"/>
  <c r="J92" i="7"/>
  <c r="J93" i="7"/>
  <c r="E90" i="7"/>
  <c r="F91" i="7"/>
  <c r="F92" i="7"/>
  <c r="F93" i="7"/>
  <c r="F90" i="7"/>
  <c r="G91" i="7"/>
  <c r="K91" i="7"/>
  <c r="G92" i="7"/>
  <c r="G93" i="7"/>
  <c r="K93" i="7"/>
  <c r="G90" i="7"/>
  <c r="K90" i="7"/>
  <c r="H91" i="7"/>
  <c r="L91" i="7"/>
  <c r="H92" i="7"/>
  <c r="H93" i="7"/>
  <c r="L93" i="7"/>
  <c r="I15" i="7"/>
  <c r="L15" i="7"/>
  <c r="K15" i="7"/>
  <c r="K89" i="7" s="1"/>
  <c r="G15" i="7"/>
  <c r="J15" i="7"/>
  <c r="F15" i="7"/>
  <c r="K17" i="6"/>
  <c r="O17" i="6"/>
  <c r="N17" i="6"/>
  <c r="J89" i="7" s="1"/>
  <c r="J17" i="6"/>
  <c r="M17" i="6"/>
  <c r="P17" i="6"/>
  <c r="L17" i="6"/>
  <c r="G11" i="7"/>
  <c r="K12" i="5"/>
  <c r="H15" i="7"/>
  <c r="H89" i="7" s="1"/>
  <c r="E15" i="7"/>
  <c r="I17" i="6"/>
  <c r="F22" i="4"/>
  <c r="F20" i="4"/>
  <c r="F19" i="4"/>
  <c r="F18" i="4"/>
  <c r="F16" i="4"/>
  <c r="F15" i="4"/>
  <c r="F12" i="4"/>
  <c r="F13" i="4"/>
  <c r="F11" i="4"/>
  <c r="F11" i="2"/>
  <c r="F10" i="2"/>
  <c r="I89" i="7" l="1"/>
  <c r="F89" i="7"/>
  <c r="L89" i="7"/>
  <c r="E89" i="7"/>
  <c r="G89" i="7"/>
  <c r="G10" i="4"/>
  <c r="G21" i="4"/>
  <c r="G14" i="4"/>
  <c r="G17" i="4"/>
  <c r="L12" i="5"/>
  <c r="K13" i="7"/>
  <c r="O15" i="6"/>
  <c r="G9" i="2"/>
  <c r="C9" i="3" s="1"/>
  <c r="E26" i="1"/>
  <c r="E25" i="1"/>
  <c r="E23" i="1"/>
  <c r="E22" i="1"/>
  <c r="E21" i="1"/>
  <c r="E19" i="1"/>
  <c r="E18" i="1"/>
  <c r="E17" i="1"/>
  <c r="E15" i="1"/>
  <c r="E14" i="1"/>
  <c r="E13" i="1"/>
  <c r="E12" i="1"/>
  <c r="E11" i="1"/>
  <c r="D24" i="1"/>
  <c r="C24" i="1"/>
  <c r="B24" i="1"/>
  <c r="H21" i="4" s="1"/>
  <c r="D20" i="1"/>
  <c r="C20" i="1"/>
  <c r="B20" i="1"/>
  <c r="H17" i="4" s="1"/>
  <c r="D16" i="1"/>
  <c r="C16" i="1"/>
  <c r="B16" i="1"/>
  <c r="C10" i="1"/>
  <c r="D10" i="1"/>
  <c r="B10" i="1"/>
  <c r="H10" i="4" l="1"/>
  <c r="B9" i="1"/>
  <c r="D9" i="1"/>
  <c r="C9" i="1"/>
  <c r="H14" i="4"/>
  <c r="H9" i="4" s="1"/>
  <c r="E20" i="1"/>
  <c r="L13" i="7"/>
  <c r="P15" i="6"/>
  <c r="E24" i="1"/>
  <c r="E16" i="1"/>
  <c r="C10" i="3"/>
  <c r="E10" i="1"/>
  <c r="B8" i="4"/>
  <c r="C8" i="4" s="1"/>
  <c r="D8" i="4" s="1"/>
  <c r="E8" i="4" s="1"/>
  <c r="F8" i="4" s="1"/>
  <c r="G8" i="4" s="1"/>
  <c r="H8" i="4" s="1"/>
  <c r="G9" i="4" l="1"/>
  <c r="D9" i="3" s="1"/>
  <c r="D10" i="3" s="1"/>
  <c r="E9" i="1"/>
  <c r="B9" i="3" s="1"/>
  <c r="B10" i="3" s="1"/>
  <c r="B8" i="3"/>
  <c r="C8" i="3" s="1"/>
  <c r="D8" i="3" s="1"/>
  <c r="E8" i="3" s="1"/>
  <c r="B8" i="2"/>
  <c r="C8" i="2" s="1"/>
  <c r="D8" i="2" s="1"/>
  <c r="E8" i="2" s="1"/>
  <c r="F8" i="2" s="1"/>
  <c r="G8" i="2" s="1"/>
  <c r="E9" i="3" l="1"/>
  <c r="E10" i="3" s="1"/>
</calcChain>
</file>

<file path=xl/sharedStrings.xml><?xml version="1.0" encoding="utf-8"?>
<sst xmlns="http://schemas.openxmlformats.org/spreadsheetml/2006/main" count="415" uniqueCount="188">
  <si>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</si>
  <si>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</si>
  <si>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</si>
  <si>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</si>
  <si>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</si>
  <si>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</si>
  <si>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</si>
  <si>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</si>
  <si>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</si>
  <si>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</si>
  <si>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</si>
  <si>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</si>
  <si>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</si>
  <si>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</si>
  <si>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</si>
  <si>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</si>
  <si>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</si>
  <si>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</si>
  <si>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</si>
  <si>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</si>
  <si>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</si>
  <si>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</si>
  <si>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</si>
  <si>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</si>
  <si>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</si>
  <si>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</si>
  <si>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</si>
  <si>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</si>
  <si>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</si>
  <si>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</si>
  <si>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</si>
  <si>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</si>
  <si>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</si>
  <si>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Цель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</si>
  <si>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</si>
  <si>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</si>
  <si>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</si>
  <si>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</si>
  <si>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</si>
  <si>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</si>
  <si>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</si>
  <si>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</si>
  <si>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</si>
  <si>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</si>
  <si>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</si>
  <si>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</si>
  <si>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</si>
  <si>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</si>
  <si>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</si>
  <si>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</si>
  <si>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</si>
  <si>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</si>
  <si>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</si>
  <si>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</si>
  <si>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</si>
  <si>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</si>
  <si>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</si>
  <si>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</si>
  <si>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</si>
  <si>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</si>
  <si>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</si>
  <si>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</si>
  <si>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</si>
  <si>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</si>
  <si>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</si>
  <si>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</si>
  <si>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</si>
  <si>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</si>
  <si>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</si>
  <si>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</si>
  <si>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</si>
  <si>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</si>
  <si>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</si>
  <si>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</si>
  <si>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</si>
  <si>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</si>
  <si>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</si>
  <si>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</si>
  <si>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</si>
  <si>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</si>
  <si>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</si>
  <si>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</si>
  <si>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</si>
  <si>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</si>
  <si>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</si>
  <si>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</si>
  <si>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</si>
  <si>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</si>
  <si>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</si>
  <si>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</si>
  <si>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</si>
  <si>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км</t>
  </si>
  <si>
    <t>%</t>
  </si>
  <si>
    <t>Транспортная подвижность населения (количество поездок всеми видами транспорта1 / количество жителей)</t>
  </si>
  <si>
    <t>поездок / человек</t>
  </si>
  <si>
    <t xml:space="preserve">Число лиц, погибших в дорожно-транспортных происшествиях </t>
  </si>
  <si>
    <t>чел.</t>
  </si>
  <si>
    <t>Количество телефонизированных населенных пунктов</t>
  </si>
  <si>
    <t>ед.</t>
  </si>
  <si>
    <t xml:space="preserve">Протяженность отремонтированных автомобильных дорог общего пользования местного значения </t>
  </si>
  <si>
    <t>Протяженность дорог общего пользования, работы по содержанию которых выполняются в объеме действующих нормативов</t>
  </si>
  <si>
    <t>Функционирование ледовой переправы</t>
  </si>
  <si>
    <t>да - 1, 
нет - 0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</si>
  <si>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</si>
  <si>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</si>
  <si>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тыс. чел.</t>
  </si>
  <si>
    <t>тыс.чел.</t>
  </si>
  <si>
    <t xml:space="preserve">Социальный риск (число лиц, погибших в дорожно-транспортных происшествиях, на 100 тыс. населения)
</t>
  </si>
  <si>
    <t>человек на 100 тысяч населения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</si>
  <si>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</si>
  <si>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</si>
  <si>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</si>
  <si>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</si>
  <si>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Количество обслуживаемых  телефонных аппаратов телефонной сети общего пользования, на конец периода</t>
  </si>
  <si>
    <t>"Развитие транспортной системы и связи Туруханского района"</t>
  </si>
  <si>
    <t>Развитие транспортной системы и связи Туруханского района</t>
  </si>
  <si>
    <t>Развитие транспортного комплекса, обеспечение сохранности и модернизации автомобильных дорог Туруханского района</t>
  </si>
  <si>
    <t>Подпрограмма 3</t>
  </si>
  <si>
    <t>Подпрограмма 4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</si>
  <si>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</si>
  <si>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</si>
  <si>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Развитие связи на территории Туруханского района</t>
  </si>
  <si>
    <t>0702</t>
  </si>
  <si>
    <t>0409</t>
  </si>
  <si>
    <t>540</t>
  </si>
  <si>
    <t>0408</t>
  </si>
  <si>
    <t>540
814</t>
  </si>
  <si>
    <t>244
540</t>
  </si>
  <si>
    <t>0113</t>
  </si>
  <si>
    <t>0410</t>
  </si>
  <si>
    <t>0314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</si>
  <si>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</si>
  <si>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</si>
  <si>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</si>
  <si>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</si>
  <si>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Подготовка межевого плана межселенной автомобильной дороги с.Туруханск-д.Селиваниха (Дорожный фонд)</t>
  </si>
  <si>
    <t>Предоставление субсидии на возмещение части затрат по перевозке пассажиров авиатранспортом</t>
  </si>
  <si>
    <t>Предоставление субсидий на возмещение части затрат по перевозке пассажиров автомобильным транспортом</t>
  </si>
  <si>
    <t>Предоставление субсидии на возмещение части затрат, связанных с организацией речных перевозок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</si>
  <si>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</si>
  <si>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реализацию мероприятий, направленных на повышение безопасности дорожного движения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</si>
  <si>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</si>
  <si>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связи, организация доступа к внутризоновой, междугородней и международной связи и модернизация телефонной сети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</si>
  <si>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</si>
  <si>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нет или увеличение</t>
  </si>
  <si>
    <t>снижение</t>
  </si>
  <si>
    <t>Задача 1. Обеспечение сохранности, модернизация и развитие сети автомобильных дорог</t>
  </si>
  <si>
    <t>Задача 2. Удовлетворение потребности населения в перевозках</t>
  </si>
  <si>
    <t>Задача 4. Обеспечение доступности внутризоновой, междугородней и международной связи и модернизация существующей телефонной сети</t>
  </si>
  <si>
    <t>без г. Игарка</t>
  </si>
  <si>
    <t>ед. транспортных средств</t>
  </si>
  <si>
    <t>Численность постоянного населения, в среднем за период</t>
  </si>
  <si>
    <t>Социальный риск</t>
  </si>
  <si>
    <t>транспортный риск</t>
  </si>
  <si>
    <t>число погибших</t>
  </si>
  <si>
    <t>транспортная подвижность населения</t>
  </si>
  <si>
    <t xml:space="preserve">Приложение № 1 </t>
  </si>
  <si>
    <t>Подпрограмма / показатель</t>
  </si>
  <si>
    <t>Уровень достижения показателя, %</t>
  </si>
  <si>
    <t>Обоснование отклонений *</t>
  </si>
  <si>
    <t>* приводятся обоснования отклонений по тем показателям, плановые значения по которым не достигнуты.</t>
  </si>
  <si>
    <t>Руководитель управления экономики, 
планирования и перспективного развития 
администрации Туруханского района</t>
  </si>
  <si>
    <t>Е. М. Нагорная</t>
  </si>
  <si>
    <t>Моховикова Наталья Леонидовна</t>
  </si>
  <si>
    <t>(39190) 44580</t>
  </si>
  <si>
    <t xml:space="preserve">СВЕДЕНИЯ 
о достижении значений показателей муниципальной программы Туруханского района «Развитие транспортной системы и связи Туруханского района» в 2017 году в разрезе подпрограмм </t>
  </si>
  <si>
    <t>2017 год</t>
  </si>
  <si>
    <t>Подпрограмма 1. Развитие транспортного комплекса, обеспечение сохранности и модернизации автомобильных дорог Туруханского района</t>
  </si>
  <si>
    <t>Подпрограмма 2. Организация транспортного обслуживания  на территории Туруханского района</t>
  </si>
  <si>
    <t>Подпрограмма 3. Организация транспортного обслуживания  на территории Туруханского района</t>
  </si>
  <si>
    <t>Подпрограмма 4. Развитие связи на территории Туруханского района</t>
  </si>
  <si>
    <t>муниципальная программа Туруханского района «Развитие транспортной системы и связи Туруханского района»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</si>
  <si>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</si>
  <si>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</si>
  <si>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</si>
  <si>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</si>
  <si>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</si>
  <si>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</si>
  <si>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</si>
  <si>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r>
      <t>муниципальной программы Туруханского района</t>
    </r>
    <r>
      <rPr>
        <b/>
        <sz val="14"/>
        <rFont val="Times New Roman"/>
        <family val="2"/>
        <charset val="204"/>
      </rPr>
      <t xml:space="preserve"> "Развитие транспортной системы и связи Туруханского района"</t>
    </r>
  </si>
  <si>
    <r>
      <t xml:space="preserve"> муниципальной программы Туруханского района </t>
    </r>
    <r>
      <rPr>
        <b/>
        <sz val="14"/>
        <rFont val="Times New Roman"/>
        <family val="2"/>
        <charset val="204"/>
      </rPr>
      <t>"Развитие транспортной системы и связи Туруханского района"</t>
    </r>
  </si>
  <si>
    <t>,</t>
  </si>
  <si>
    <t>по представленным отчетам Туруханск</t>
  </si>
  <si>
    <t>увеличение</t>
  </si>
  <si>
    <t>деведение до минус 0,1%</t>
  </si>
  <si>
    <t>Снижение численности населения</t>
  </si>
  <si>
    <t>Снижение численности населения, 
Увеличение тарифов на авиационные перевозки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</si>
  <si>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rFont val="Times New Roman"/>
        <family val="2"/>
        <charset val="204"/>
      </rPr>
      <t>(гр. 2+ гр.3) / гр.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</si>
</sst>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0.0"/>
    <numFmt numFmtId="169" formatCode="0.000"/>
    <numFmt numFmtId="170" formatCode="0.0000"/>
    <numFmt numFmtId="172" formatCode="_-* #,##0.0000_р_._-;\-* #,##0.0000_р_._-;_-* &quot;-&quot;??_р_.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sz val="11"/>
      <name val="Times New Roman"/>
      <family val="2"/>
      <charset val="204"/>
    </font>
    <font>
      <i/>
      <sz val="9"/>
      <name val="Times New Roman"/>
      <family val="2"/>
      <charset val="204"/>
    </font>
    <font>
      <i/>
      <sz val="1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7" fillId="0" borderId="0"/>
  </cellStyleXfs>
  <cellXfs count="21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4" applyFont="1"/>
    <xf numFmtId="0" fontId="14" fillId="0" borderId="0" xfId="4" applyFont="1" applyAlignment="1">
      <alignment horizontal="justify" vertical="center"/>
    </xf>
    <xf numFmtId="0" fontId="14" fillId="0" borderId="0" xfId="4" applyFont="1" applyAlignment="1">
      <alignment horizontal="right" wrapText="1"/>
    </xf>
    <xf numFmtId="0" fontId="12" fillId="0" borderId="1" xfId="4" applyFont="1" applyBorder="1" applyAlignment="1">
      <alignment vertical="center" wrapText="1"/>
    </xf>
    <xf numFmtId="0" fontId="14" fillId="0" borderId="0" xfId="4" applyFont="1" applyAlignment="1">
      <alignment horizontal="right" vertical="center"/>
    </xf>
    <xf numFmtId="0" fontId="14" fillId="0" borderId="0" xfId="4" applyFont="1" applyAlignment="1">
      <alignment horizontal="left" vertical="center" indent="2"/>
    </xf>
    <xf numFmtId="0" fontId="12" fillId="0" borderId="1" xfId="4" applyFont="1" applyBorder="1" applyAlignment="1">
      <alignment wrapText="1"/>
    </xf>
    <xf numFmtId="0" fontId="12" fillId="0" borderId="1" xfId="5" applyFont="1" applyBorder="1" applyAlignment="1">
      <alignment vertical="center" wrapText="1"/>
    </xf>
    <xf numFmtId="0" fontId="12" fillId="4" borderId="1" xfId="4" applyFont="1" applyFill="1" applyBorder="1" applyAlignment="1">
      <alignment vertical="center" wrapText="1"/>
    </xf>
    <xf numFmtId="0" fontId="12" fillId="0" borderId="0" xfId="4" applyFont="1" applyBorder="1" applyAlignment="1">
      <alignment vertical="center" wrapText="1"/>
    </xf>
    <xf numFmtId="166" fontId="12" fillId="0" borderId="1" xfId="1" applyNumberFormat="1" applyFont="1" applyBorder="1" applyAlignment="1">
      <alignment vertical="center" wrapText="1"/>
    </xf>
    <xf numFmtId="0" fontId="12" fillId="0" borderId="1" xfId="4" applyFont="1" applyBorder="1" applyAlignment="1">
      <alignment horizontal="left" vertical="center" wrapText="1"/>
    </xf>
    <xf numFmtId="1" fontId="12" fillId="0" borderId="1" xfId="4" applyNumberFormat="1" applyFont="1" applyBorder="1" applyAlignment="1">
      <alignment vertical="center" wrapText="1"/>
    </xf>
    <xf numFmtId="1" fontId="12" fillId="0" borderId="1" xfId="1" applyNumberFormat="1" applyFont="1" applyFill="1" applyBorder="1" applyAlignment="1">
      <alignment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vertical="center" wrapText="1"/>
    </xf>
    <xf numFmtId="166" fontId="12" fillId="0" borderId="10" xfId="1" applyNumberFormat="1" applyFont="1" applyBorder="1" applyAlignment="1">
      <alignment vertical="center" wrapText="1"/>
    </xf>
    <xf numFmtId="166" fontId="12" fillId="0" borderId="11" xfId="1" applyNumberFormat="1" applyFont="1" applyBorder="1" applyAlignment="1">
      <alignment vertical="center" wrapText="1"/>
    </xf>
    <xf numFmtId="166" fontId="12" fillId="0" borderId="12" xfId="1" applyNumberFormat="1" applyFont="1" applyBorder="1" applyAlignment="1">
      <alignment vertical="center" wrapText="1"/>
    </xf>
    <xf numFmtId="166" fontId="12" fillId="0" borderId="13" xfId="1" applyNumberFormat="1" applyFont="1" applyBorder="1" applyAlignment="1">
      <alignment vertical="center" wrapText="1"/>
    </xf>
    <xf numFmtId="166" fontId="12" fillId="0" borderId="14" xfId="1" applyNumberFormat="1" applyFont="1" applyBorder="1" applyAlignment="1">
      <alignment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8" fontId="12" fillId="0" borderId="1" xfId="4" applyNumberFormat="1" applyFont="1" applyBorder="1" applyAlignment="1">
      <alignment vertical="center" wrapText="1"/>
    </xf>
    <xf numFmtId="0" fontId="12" fillId="0" borderId="16" xfId="4" applyFont="1" applyBorder="1"/>
    <xf numFmtId="0" fontId="12" fillId="0" borderId="17" xfId="4" applyFont="1" applyBorder="1"/>
    <xf numFmtId="0" fontId="12" fillId="0" borderId="18" xfId="4" applyFont="1" applyBorder="1"/>
    <xf numFmtId="167" fontId="12" fillId="0" borderId="0" xfId="1" applyNumberFormat="1" applyFont="1"/>
    <xf numFmtId="0" fontId="12" fillId="7" borderId="0" xfId="4" applyFont="1" applyFill="1"/>
    <xf numFmtId="0" fontId="12" fillId="7" borderId="15" xfId="4" applyFont="1" applyFill="1" applyBorder="1"/>
    <xf numFmtId="167" fontId="12" fillId="7" borderId="0" xfId="1" applyNumberFormat="1" applyFont="1" applyFill="1"/>
    <xf numFmtId="0" fontId="12" fillId="6" borderId="0" xfId="4" applyFont="1" applyFill="1"/>
    <xf numFmtId="0" fontId="12" fillId="6" borderId="17" xfId="4" applyFont="1" applyFill="1" applyBorder="1"/>
    <xf numFmtId="167" fontId="12" fillId="6" borderId="0" xfId="1" applyNumberFormat="1" applyFont="1" applyFill="1"/>
    <xf numFmtId="0" fontId="12" fillId="6" borderId="18" xfId="4" applyFont="1" applyFill="1" applyBorder="1"/>
    <xf numFmtId="168" fontId="12" fillId="0" borderId="0" xfId="4" applyNumberFormat="1" applyFont="1"/>
    <xf numFmtId="166" fontId="12" fillId="0" borderId="0" xfId="1" applyNumberFormat="1" applyFont="1"/>
    <xf numFmtId="166" fontId="12" fillId="6" borderId="0" xfId="1" applyNumberFormat="1" applyFont="1" applyFill="1"/>
    <xf numFmtId="0" fontId="6" fillId="0" borderId="0" xfId="2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right" vertical="center" wrapText="1"/>
    </xf>
    <xf numFmtId="0" fontId="6" fillId="0" borderId="0" xfId="6" applyFont="1" applyAlignment="1">
      <alignment horizontal="left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7" applyFont="1" applyBorder="1" applyAlignment="1">
      <alignment vertical="center" wrapText="1"/>
    </xf>
    <xf numFmtId="0" fontId="6" fillId="0" borderId="0" xfId="7" applyFont="1" applyBorder="1" applyAlignment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9" fontId="16" fillId="0" borderId="0" xfId="9" applyNumberFormat="1" applyFont="1" applyAlignment="1">
      <alignment horizontal="left" vertical="center" wrapText="1"/>
    </xf>
    <xf numFmtId="49" fontId="16" fillId="0" borderId="0" xfId="9" applyNumberFormat="1" applyFont="1" applyAlignment="1">
      <alignment horizontal="center" vertical="center" wrapText="1"/>
    </xf>
    <xf numFmtId="0" fontId="6" fillId="0" borderId="0" xfId="9" applyFont="1" applyAlignment="1">
      <alignment horizontal="right"/>
    </xf>
    <xf numFmtId="0" fontId="1" fillId="0" borderId="0" xfId="6" applyAlignment="1">
      <alignment vertical="center" wrapText="1"/>
    </xf>
    <xf numFmtId="49" fontId="6" fillId="0" borderId="0" xfId="9" applyNumberFormat="1" applyFont="1" applyAlignment="1">
      <alignment horizontal="center" vertical="center" wrapText="1"/>
    </xf>
    <xf numFmtId="0" fontId="16" fillId="0" borderId="0" xfId="9" applyFont="1"/>
    <xf numFmtId="0" fontId="6" fillId="0" borderId="0" xfId="7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/>
    </xf>
    <xf numFmtId="0" fontId="13" fillId="0" borderId="1" xfId="7" applyFont="1" applyBorder="1" applyAlignment="1">
      <alignment vertical="center" wrapText="1"/>
    </xf>
    <xf numFmtId="0" fontId="16" fillId="0" borderId="0" xfId="7" applyFont="1" applyBorder="1" applyAlignment="1">
      <alignment horizontal="center" vertical="center" wrapText="1"/>
    </xf>
    <xf numFmtId="0" fontId="1" fillId="0" borderId="0" xfId="6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13" fillId="0" borderId="1" xfId="7" applyFont="1" applyBorder="1" applyAlignment="1">
      <alignment horizontal="left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 wrapText="1"/>
    </xf>
    <xf numFmtId="1" fontId="12" fillId="0" borderId="1" xfId="4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6" applyFont="1" applyAlignment="1">
      <alignment horizontal="left" vertical="center"/>
    </xf>
    <xf numFmtId="0" fontId="20" fillId="5" borderId="1" xfId="4" applyFont="1" applyFill="1" applyBorder="1" applyAlignment="1">
      <alignment vertical="center" wrapText="1"/>
    </xf>
    <xf numFmtId="166" fontId="20" fillId="5" borderId="1" xfId="1" applyNumberFormat="1" applyFont="1" applyFill="1" applyBorder="1" applyAlignment="1">
      <alignment vertical="center" wrapText="1"/>
    </xf>
    <xf numFmtId="166" fontId="20" fillId="5" borderId="2" xfId="1" applyNumberFormat="1" applyFont="1" applyFill="1" applyBorder="1" applyAlignment="1">
      <alignment vertical="center" wrapText="1"/>
    </xf>
    <xf numFmtId="166" fontId="20" fillId="5" borderId="10" xfId="1" applyNumberFormat="1" applyFont="1" applyFill="1" applyBorder="1" applyAlignment="1">
      <alignment vertical="center" wrapText="1"/>
    </xf>
    <xf numFmtId="166" fontId="20" fillId="5" borderId="11" xfId="1" applyNumberFormat="1" applyFont="1" applyFill="1" applyBorder="1" applyAlignment="1">
      <alignment vertical="center" wrapText="1"/>
    </xf>
    <xf numFmtId="166" fontId="20" fillId="5" borderId="3" xfId="1" applyNumberFormat="1" applyFont="1" applyFill="1" applyBorder="1" applyAlignment="1">
      <alignment vertical="center" wrapText="1"/>
    </xf>
    <xf numFmtId="166" fontId="12" fillId="0" borderId="2" xfId="1" applyNumberFormat="1" applyFont="1" applyBorder="1" applyAlignment="1">
      <alignment vertical="center" wrapText="1"/>
    </xf>
    <xf numFmtId="0" fontId="20" fillId="4" borderId="1" xfId="4" applyFont="1" applyFill="1" applyBorder="1" applyAlignment="1">
      <alignment vertical="center" wrapText="1"/>
    </xf>
    <xf numFmtId="166" fontId="20" fillId="4" borderId="1" xfId="1" applyNumberFormat="1" applyFont="1" applyFill="1" applyBorder="1" applyAlignment="1">
      <alignment vertical="center" wrapText="1"/>
    </xf>
    <xf numFmtId="166" fontId="20" fillId="4" borderId="2" xfId="1" applyNumberFormat="1" applyFont="1" applyFill="1" applyBorder="1" applyAlignment="1">
      <alignment vertical="center" wrapText="1"/>
    </xf>
    <xf numFmtId="166" fontId="20" fillId="4" borderId="10" xfId="1" applyNumberFormat="1" applyFont="1" applyFill="1" applyBorder="1" applyAlignment="1">
      <alignment vertical="center" wrapText="1"/>
    </xf>
    <xf numFmtId="166" fontId="20" fillId="4" borderId="11" xfId="1" applyNumberFormat="1" applyFont="1" applyFill="1" applyBorder="1" applyAlignment="1">
      <alignment vertical="center" wrapText="1"/>
    </xf>
    <xf numFmtId="166" fontId="20" fillId="4" borderId="3" xfId="1" applyNumberFormat="1" applyFont="1" applyFill="1" applyBorder="1" applyAlignment="1">
      <alignment vertical="center" wrapText="1"/>
    </xf>
    <xf numFmtId="166" fontId="12" fillId="4" borderId="1" xfId="1" applyNumberFormat="1" applyFont="1" applyFill="1" applyBorder="1" applyAlignment="1">
      <alignment vertical="center" wrapText="1"/>
    </xf>
    <xf numFmtId="166" fontId="12" fillId="4" borderId="2" xfId="1" applyNumberFormat="1" applyFont="1" applyFill="1" applyBorder="1" applyAlignment="1">
      <alignment vertical="center" wrapText="1"/>
    </xf>
    <xf numFmtId="166" fontId="12" fillId="4" borderId="10" xfId="1" applyNumberFormat="1" applyFont="1" applyFill="1" applyBorder="1" applyAlignment="1">
      <alignment vertical="center" wrapText="1"/>
    </xf>
    <xf numFmtId="166" fontId="12" fillId="4" borderId="11" xfId="1" applyNumberFormat="1" applyFont="1" applyFill="1" applyBorder="1" applyAlignment="1">
      <alignment vertical="center" wrapText="1"/>
    </xf>
    <xf numFmtId="166" fontId="12" fillId="4" borderId="3" xfId="1" applyNumberFormat="1" applyFont="1" applyFill="1" applyBorder="1" applyAlignment="1">
      <alignment vertical="center" wrapText="1"/>
    </xf>
    <xf numFmtId="168" fontId="12" fillId="0" borderId="1" xfId="4" applyNumberFormat="1" applyFont="1" applyFill="1" applyBorder="1" applyAlignment="1">
      <alignment vertical="center" wrapText="1"/>
    </xf>
    <xf numFmtId="169" fontId="12" fillId="0" borderId="1" xfId="4" applyNumberFormat="1" applyFont="1" applyBorder="1" applyAlignment="1">
      <alignment vertical="center" wrapText="1"/>
    </xf>
    <xf numFmtId="0" fontId="12" fillId="0" borderId="0" xfId="4" applyFont="1" applyAlignment="1">
      <alignment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16" fillId="0" borderId="0" xfId="7" applyFont="1" applyBorder="1" applyAlignment="1">
      <alignment horizontal="left" vertical="center" wrapText="1"/>
    </xf>
    <xf numFmtId="49" fontId="6" fillId="0" borderId="0" xfId="9" applyNumberFormat="1" applyFont="1" applyAlignment="1">
      <alignment wrapText="1"/>
    </xf>
    <xf numFmtId="0" fontId="13" fillId="0" borderId="0" xfId="7" applyFont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left" vertical="center" wrapText="1"/>
    </xf>
    <xf numFmtId="0" fontId="12" fillId="5" borderId="6" xfId="4" applyFont="1" applyFill="1" applyBorder="1" applyAlignment="1">
      <alignment horizontal="left" vertical="center" wrapText="1"/>
    </xf>
    <xf numFmtId="0" fontId="12" fillId="5" borderId="3" xfId="4" applyFont="1" applyFill="1" applyBorder="1" applyAlignment="1">
      <alignment horizontal="left" vertical="center" wrapText="1"/>
    </xf>
    <xf numFmtId="0" fontId="12" fillId="4" borderId="2" xfId="4" applyFont="1" applyFill="1" applyBorder="1" applyAlignment="1">
      <alignment horizontal="left" vertical="center" wrapText="1"/>
    </xf>
    <xf numFmtId="0" fontId="12" fillId="4" borderId="6" xfId="4" applyFont="1" applyFill="1" applyBorder="1" applyAlignment="1">
      <alignment horizontal="left" vertical="center" wrapText="1"/>
    </xf>
    <xf numFmtId="0" fontId="12" fillId="4" borderId="3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4" fillId="0" borderId="0" xfId="4" applyFont="1" applyAlignment="1">
      <alignment horizontal="left" wrapText="1"/>
    </xf>
    <xf numFmtId="0" fontId="14" fillId="0" borderId="0" xfId="4" applyFont="1" applyAlignment="1">
      <alignment horizontal="center"/>
    </xf>
    <xf numFmtId="0" fontId="12" fillId="0" borderId="4" xfId="4" applyFont="1" applyBorder="1" applyAlignment="1">
      <alignment horizontal="left" vertical="center" wrapText="1"/>
    </xf>
    <xf numFmtId="0" fontId="12" fillId="0" borderId="5" xfId="4" applyFont="1" applyBorder="1" applyAlignment="1">
      <alignment horizontal="left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0" fontId="20" fillId="0" borderId="1" xfId="4" applyFont="1" applyBorder="1" applyAlignment="1">
      <alignment horizontal="center" vertical="top" wrapText="1"/>
    </xf>
    <xf numFmtId="0" fontId="20" fillId="0" borderId="1" xfId="4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left" vertical="center" wrapText="1"/>
    </xf>
    <xf numFmtId="43" fontId="7" fillId="0" borderId="5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left" wrapText="1"/>
    </xf>
    <xf numFmtId="0" fontId="14" fillId="0" borderId="0" xfId="4" applyFont="1" applyAlignment="1">
      <alignment horizontal="right"/>
    </xf>
    <xf numFmtId="49" fontId="6" fillId="0" borderId="0" xfId="9" applyNumberFormat="1" applyFont="1" applyAlignment="1">
      <alignment horizontal="left" wrapText="1"/>
    </xf>
    <xf numFmtId="0" fontId="21" fillId="0" borderId="0" xfId="9" applyFont="1"/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166" fontId="20" fillId="3" borderId="1" xfId="1" applyNumberFormat="1" applyFont="1" applyFill="1" applyBorder="1" applyAlignment="1">
      <alignment vertical="center" wrapText="1"/>
    </xf>
    <xf numFmtId="43" fontId="20" fillId="3" borderId="1" xfId="1" applyNumberFormat="1" applyFont="1" applyFill="1" applyBorder="1" applyAlignment="1">
      <alignment vertical="center" wrapText="1"/>
    </xf>
    <xf numFmtId="0" fontId="12" fillId="2" borderId="1" xfId="2" applyFont="1" applyFill="1" applyBorder="1" applyAlignment="1">
      <alignment vertical="center" wrapText="1"/>
    </xf>
    <xf numFmtId="166" fontId="22" fillId="2" borderId="1" xfId="1" applyNumberFormat="1" applyFont="1" applyFill="1" applyBorder="1" applyAlignment="1">
      <alignment vertical="center" wrapText="1"/>
    </xf>
    <xf numFmtId="165" fontId="22" fillId="2" borderId="1" xfId="1" applyNumberFormat="1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166" fontId="22" fillId="0" borderId="1" xfId="1" applyNumberFormat="1" applyFont="1" applyBorder="1" applyAlignment="1">
      <alignment vertical="center" wrapText="1"/>
    </xf>
    <xf numFmtId="165" fontId="22" fillId="0" borderId="1" xfId="1" applyNumberFormat="1" applyFont="1" applyBorder="1" applyAlignment="1">
      <alignment vertical="center" wrapText="1"/>
    </xf>
    <xf numFmtId="166" fontId="22" fillId="0" borderId="1" xfId="1" applyNumberFormat="1" applyFont="1" applyFill="1" applyBorder="1" applyAlignment="1">
      <alignment vertical="center" wrapText="1"/>
    </xf>
    <xf numFmtId="49" fontId="12" fillId="0" borderId="0" xfId="9" applyNumberFormat="1" applyFont="1" applyAlignment="1">
      <alignment horizontal="left" wrapText="1"/>
    </xf>
    <xf numFmtId="0" fontId="12" fillId="0" borderId="0" xfId="9" applyFont="1" applyAlignment="1">
      <alignment horizontal="right"/>
    </xf>
    <xf numFmtId="164" fontId="12" fillId="0" borderId="0" xfId="3" applyNumberFormat="1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49" fontId="12" fillId="0" borderId="0" xfId="9" applyNumberFormat="1" applyFont="1" applyAlignment="1">
      <alignment horizontal="left" wrapText="1"/>
    </xf>
    <xf numFmtId="170" fontId="12" fillId="0" borderId="1" xfId="4" applyNumberFormat="1" applyFont="1" applyBorder="1" applyAlignment="1">
      <alignment vertical="center" wrapText="1"/>
    </xf>
    <xf numFmtId="2" fontId="12" fillId="0" borderId="1" xfId="4" applyNumberFormat="1" applyFont="1" applyBorder="1" applyAlignment="1">
      <alignment vertical="center" wrapText="1"/>
    </xf>
    <xf numFmtId="43" fontId="12" fillId="0" borderId="0" xfId="1" applyFont="1"/>
    <xf numFmtId="172" fontId="12" fillId="0" borderId="0" xfId="1" applyNumberFormat="1" applyFont="1"/>
    <xf numFmtId="2" fontId="12" fillId="0" borderId="0" xfId="4" applyNumberFormat="1" applyFont="1"/>
    <xf numFmtId="43" fontId="12" fillId="0" borderId="0" xfId="4" applyNumberFormat="1" applyFont="1"/>
  </cellXfs>
  <cellStyles count="10">
    <cellStyle name="Гиперссылка" xfId="5" builtinId="8"/>
    <cellStyle name="Обычный" xfId="0" builtinId="0"/>
    <cellStyle name="Обычный 2" xfId="4"/>
    <cellStyle name="Обычный 2 2" xfId="7"/>
    <cellStyle name="Обычный 3" xfId="2"/>
    <cellStyle name="Обычный 4" xfId="6"/>
    <cellStyle name="Обычный 4 2" xfId="9"/>
    <cellStyle name="Финансовый" xfId="1" builtinId="3"/>
    <cellStyle name="Финансовый 2" xfId="3"/>
    <cellStyle name="Финансовый 3" xfId="8"/>
  </cellStyles>
  <dxfs count="7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4"/>
  <sheetViews>
    <sheetView view="pageBreakPreview" topLeftCell="A13" zoomScale="60" zoomScaleNormal="100" workbookViewId="0">
      <selection activeCell="D35" sqref="D34:D35"/>
    </sheetView>
  </sheetViews>
  <sheetFormatPr defaultRowHeight="15.75" x14ac:dyDescent="0.25"/>
  <cols>
    <col min="1" max="1" width="6.5703125" style="66" customWidth="1"/>
    <col min="2" max="2" width="79" style="66" customWidth="1"/>
    <col min="3" max="3" width="13.140625" style="66" customWidth="1"/>
    <col min="4" max="4" width="10.5703125" style="66" bestFit="1" customWidth="1"/>
    <col min="5" max="5" width="11.140625" style="66" customWidth="1"/>
    <col min="6" max="6" width="15.7109375" style="66" customWidth="1"/>
    <col min="7" max="7" width="24.85546875" style="66" customWidth="1"/>
    <col min="8" max="16384" width="9.140625" style="66"/>
  </cols>
  <sheetData>
    <row r="1" spans="1:13" x14ac:dyDescent="0.25">
      <c r="A1" s="65"/>
      <c r="B1" s="65"/>
      <c r="C1" s="65"/>
      <c r="D1" s="65"/>
      <c r="F1" s="67"/>
      <c r="G1" s="68" t="s">
        <v>156</v>
      </c>
    </row>
    <row r="2" spans="1:13" x14ac:dyDescent="0.25">
      <c r="A2" s="65"/>
      <c r="B2" s="65"/>
      <c r="C2" s="65"/>
      <c r="D2" s="65"/>
      <c r="E2" s="69"/>
      <c r="F2" s="69"/>
      <c r="G2" s="69"/>
    </row>
    <row r="3" spans="1:13" x14ac:dyDescent="0.25">
      <c r="A3" s="65"/>
      <c r="B3" s="65"/>
      <c r="C3" s="65"/>
      <c r="D3" s="65"/>
    </row>
    <row r="4" spans="1:13" ht="57" customHeight="1" x14ac:dyDescent="0.25">
      <c r="A4" s="141" t="s">
        <v>165</v>
      </c>
      <c r="B4" s="141"/>
      <c r="C4" s="141"/>
      <c r="D4" s="141"/>
      <c r="E4" s="141"/>
      <c r="F4" s="141"/>
      <c r="G4" s="141"/>
    </row>
    <row r="6" spans="1:13" ht="28.5" customHeight="1" x14ac:dyDescent="0.25">
      <c r="A6" s="142" t="s">
        <v>41</v>
      </c>
      <c r="B6" s="142" t="s">
        <v>157</v>
      </c>
      <c r="C6" s="142" t="s">
        <v>9</v>
      </c>
      <c r="D6" s="142" t="s">
        <v>166</v>
      </c>
      <c r="E6" s="142"/>
      <c r="F6" s="143" t="s">
        <v>158</v>
      </c>
      <c r="G6" s="143" t="s">
        <v>159</v>
      </c>
    </row>
    <row r="7" spans="1:13" ht="28.5" customHeight="1" x14ac:dyDescent="0.25">
      <c r="A7" s="142"/>
      <c r="B7" s="142"/>
      <c r="C7" s="142"/>
      <c r="D7" s="70" t="s">
        <v>10</v>
      </c>
      <c r="E7" s="71" t="s">
        <v>11</v>
      </c>
      <c r="F7" s="143"/>
      <c r="G7" s="143"/>
    </row>
    <row r="8" spans="1:13" s="89" customFormat="1" ht="37.5" customHeight="1" x14ac:dyDescent="0.25">
      <c r="A8" s="86"/>
      <c r="B8" s="98" t="s">
        <v>171</v>
      </c>
      <c r="C8" s="97"/>
      <c r="D8" s="86"/>
      <c r="E8" s="87"/>
      <c r="F8" s="88"/>
      <c r="G8" s="88"/>
    </row>
    <row r="9" spans="1:13" ht="28.5" customHeight="1" x14ac:dyDescent="0.25">
      <c r="A9" s="70"/>
      <c r="B9" s="138" t="str">
        <f>'2'!B15</f>
        <v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v>
      </c>
      <c r="C9" s="70" t="str">
        <f>'2'!C15</f>
        <v>км</v>
      </c>
      <c r="D9" s="93">
        <f>'2'!I15</f>
        <v>129.14699999999999</v>
      </c>
      <c r="E9" s="93">
        <f>'2'!J15</f>
        <v>156.34</v>
      </c>
      <c r="F9" s="93">
        <f>E9/D9*100</f>
        <v>121.05585108442318</v>
      </c>
      <c r="G9" s="85"/>
    </row>
    <row r="10" spans="1:13" ht="28.5" customHeight="1" x14ac:dyDescent="0.25">
      <c r="A10" s="70"/>
      <c r="B10" s="138"/>
      <c r="C10" s="70" t="str">
        <f>'2'!C16</f>
        <v>%</v>
      </c>
      <c r="D10" s="93">
        <f>'2'!I16</f>
        <v>47.2</v>
      </c>
      <c r="E10" s="93">
        <f>'2'!J16</f>
        <v>57.14</v>
      </c>
      <c r="F10" s="93">
        <f t="shared" ref="F10:F26" si="0">E10/D10*100</f>
        <v>121.05932203389831</v>
      </c>
      <c r="G10" s="85"/>
    </row>
    <row r="11" spans="1:13" ht="94.5" x14ac:dyDescent="0.25">
      <c r="A11" s="70"/>
      <c r="B11" s="95" t="str">
        <f>'2'!B18</f>
        <v>Транспортная подвижность населения (количество поездок всеми видами транспорта1 / количество жителей)</v>
      </c>
      <c r="C11" s="70" t="str">
        <f>'2'!C18</f>
        <v>поездок / человек</v>
      </c>
      <c r="D11" s="93">
        <f>'2'!I18</f>
        <v>13.016730697732061</v>
      </c>
      <c r="E11" s="93">
        <f>'2'!J18</f>
        <v>11.721278968893298</v>
      </c>
      <c r="F11" s="93">
        <f t="shared" si="0"/>
        <v>90.047794957727191</v>
      </c>
      <c r="G11" s="128" t="s">
        <v>186</v>
      </c>
      <c r="H11" s="129"/>
    </row>
    <row r="12" spans="1:13" x14ac:dyDescent="0.25">
      <c r="A12" s="70"/>
      <c r="B12" s="95" t="str">
        <f>'2'!B20</f>
        <v xml:space="preserve">Число лиц, погибших в дорожно-транспортных происшествиях </v>
      </c>
      <c r="C12" s="70" t="str">
        <f>'2'!C20</f>
        <v>чел.</v>
      </c>
      <c r="D12" s="93">
        <f>'2'!I20</f>
        <v>1</v>
      </c>
      <c r="E12" s="93">
        <f>'2'!J20</f>
        <v>3</v>
      </c>
      <c r="F12" s="93">
        <f t="shared" si="0"/>
        <v>300</v>
      </c>
      <c r="G12" s="85"/>
    </row>
    <row r="13" spans="1:13" x14ac:dyDescent="0.25">
      <c r="A13" s="70"/>
      <c r="B13" s="95" t="str">
        <f>'2'!B22</f>
        <v>Количество телефонизированных населенных пунктов</v>
      </c>
      <c r="C13" s="70" t="str">
        <f>'2'!C22</f>
        <v>ед.</v>
      </c>
      <c r="D13" s="93">
        <f>'2'!I22</f>
        <v>8</v>
      </c>
      <c r="E13" s="93">
        <f>'2'!J22</f>
        <v>8</v>
      </c>
      <c r="F13" s="93">
        <f t="shared" si="0"/>
        <v>100</v>
      </c>
      <c r="G13" s="85"/>
    </row>
    <row r="14" spans="1:13" s="89" customFormat="1" ht="47.25" x14ac:dyDescent="0.25">
      <c r="A14" s="86"/>
      <c r="B14" s="96" t="s">
        <v>167</v>
      </c>
      <c r="C14" s="86"/>
      <c r="D14" s="94"/>
      <c r="E14" s="94"/>
      <c r="F14" s="93"/>
      <c r="G14" s="85"/>
      <c r="H14" s="66"/>
      <c r="I14" s="66"/>
      <c r="J14" s="66"/>
      <c r="K14" s="66"/>
      <c r="L14" s="66"/>
      <c r="M14" s="66"/>
    </row>
    <row r="15" spans="1:13" ht="31.5" x14ac:dyDescent="0.25">
      <c r="A15" s="70"/>
      <c r="B15" s="95" t="str">
        <f>'2'!B25</f>
        <v xml:space="preserve">Протяженность отремонтированных автомобильных дорог общего пользования местного значения </v>
      </c>
      <c r="C15" s="70" t="str">
        <f>'2'!C25</f>
        <v>км</v>
      </c>
      <c r="D15" s="93">
        <f>'2'!I25</f>
        <v>3.7709999999999999</v>
      </c>
      <c r="E15" s="93">
        <f>'2'!J25</f>
        <v>3.7709999999999999</v>
      </c>
      <c r="F15" s="93">
        <f t="shared" si="0"/>
        <v>100</v>
      </c>
      <c r="G15" s="131"/>
    </row>
    <row r="16" spans="1:13" ht="31.5" x14ac:dyDescent="0.25">
      <c r="A16" s="70"/>
      <c r="B16" s="95" t="str">
        <f>'2'!B26</f>
        <v>Протяженность дорог общего пользования, работы по содержанию которых выполняются в объеме действующих нормативов</v>
      </c>
      <c r="C16" s="70" t="str">
        <f>'2'!C26</f>
        <v>км</v>
      </c>
      <c r="D16" s="93">
        <f>'2'!I26</f>
        <v>273.60000000000002</v>
      </c>
      <c r="E16" s="93">
        <f>'2'!J26</f>
        <v>273.60000000000002</v>
      </c>
      <c r="F16" s="93">
        <f t="shared" si="0"/>
        <v>100</v>
      </c>
      <c r="G16" s="131"/>
    </row>
    <row r="17" spans="1:13" ht="31.5" x14ac:dyDescent="0.25">
      <c r="A17" s="70"/>
      <c r="B17" s="95" t="str">
        <f>'2'!B27</f>
        <v>Функционирование ледовой переправы</v>
      </c>
      <c r="C17" s="70" t="str">
        <f>'2'!C27</f>
        <v>да - 1, 
нет - 0</v>
      </c>
      <c r="D17" s="93">
        <f>'2'!I27</f>
        <v>1</v>
      </c>
      <c r="E17" s="93">
        <f>'2'!J27</f>
        <v>1</v>
      </c>
      <c r="F17" s="93">
        <f t="shared" si="0"/>
        <v>100</v>
      </c>
      <c r="G17" s="85"/>
    </row>
    <row r="18" spans="1:13" s="89" customFormat="1" ht="31.5" x14ac:dyDescent="0.25">
      <c r="A18" s="86"/>
      <c r="B18" s="90" t="s">
        <v>168</v>
      </c>
      <c r="C18" s="86"/>
      <c r="D18" s="94"/>
      <c r="E18" s="94"/>
      <c r="F18" s="93"/>
      <c r="G18" s="85"/>
      <c r="H18" s="66"/>
      <c r="I18" s="66"/>
      <c r="J18" s="66"/>
      <c r="K18" s="66"/>
      <c r="L18" s="66"/>
      <c r="M18" s="66"/>
    </row>
    <row r="19" spans="1:13" ht="94.5" x14ac:dyDescent="0.25">
      <c r="A19" s="70"/>
      <c r="B19" s="72" t="str">
        <f>'2'!B30</f>
        <v>Количество пассажиров, перевезенных внутрирайонными воздушными перевозками на территории Туруханского района</v>
      </c>
      <c r="C19" s="70" t="str">
        <f>'2'!C30</f>
        <v>тыс. чел.</v>
      </c>
      <c r="D19" s="93">
        <f>'2'!I30</f>
        <v>8.3040000000000003</v>
      </c>
      <c r="E19" s="93">
        <f>'2'!J30</f>
        <v>7.5739999999999998</v>
      </c>
      <c r="F19" s="93">
        <f t="shared" si="0"/>
        <v>91.209055876685923</v>
      </c>
      <c r="G19" s="128" t="s">
        <v>186</v>
      </c>
    </row>
    <row r="20" spans="1:13" ht="47.25" x14ac:dyDescent="0.25">
      <c r="A20" s="70"/>
      <c r="B20" s="72" t="str">
        <f>'2'!B31</f>
        <v>Количество пассажиров, перевезенных автомобильным транспортом на территории Туруханского района</v>
      </c>
      <c r="C20" s="70" t="str">
        <f>'2'!C31</f>
        <v>тыс.чел.</v>
      </c>
      <c r="D20" s="93">
        <f>'2'!I31</f>
        <v>201.76</v>
      </c>
      <c r="E20" s="93">
        <f>'2'!J31</f>
        <v>181.584</v>
      </c>
      <c r="F20" s="93">
        <f t="shared" si="0"/>
        <v>90</v>
      </c>
      <c r="G20" s="128" t="s">
        <v>185</v>
      </c>
    </row>
    <row r="21" spans="1:13" s="89" customFormat="1" ht="31.5" x14ac:dyDescent="0.25">
      <c r="A21" s="86"/>
      <c r="B21" s="90" t="s">
        <v>169</v>
      </c>
      <c r="C21" s="86"/>
      <c r="D21" s="94"/>
      <c r="E21" s="94"/>
      <c r="F21" s="93"/>
      <c r="G21" s="85"/>
      <c r="H21" s="66"/>
      <c r="I21" s="66"/>
      <c r="J21" s="66"/>
      <c r="K21" s="66"/>
      <c r="L21" s="66"/>
      <c r="M21" s="66"/>
    </row>
    <row r="22" spans="1:13" ht="47.25" x14ac:dyDescent="0.25">
      <c r="A22" s="70"/>
      <c r="B22" s="72" t="str">
        <f>'2'!B34</f>
        <v xml:space="preserve">Социальный риск (число лиц, погибших в дорожно-транспортных происшествиях, на 100 тыс. населения)
</v>
      </c>
      <c r="C22" s="70" t="str">
        <f>'2'!C34</f>
        <v>человек на 100 тысяч населения</v>
      </c>
      <c r="D22" s="93">
        <f>'2'!I34</f>
        <v>6.1797058460017311</v>
      </c>
      <c r="E22" s="93">
        <f>'2'!J34</f>
        <v>18.589664146734414</v>
      </c>
      <c r="F22" s="93">
        <f t="shared" si="0"/>
        <v>300.81794522245622</v>
      </c>
      <c r="G22" s="85"/>
    </row>
    <row r="23" spans="1:13" ht="63" x14ac:dyDescent="0.25">
      <c r="A23" s="70"/>
      <c r="B23" s="72" t="str">
        <f>'2'!B35</f>
        <v xml:space="preserve">Транспортный риск (число лиц, погибших в дорожно-транспортных происшествиях, на 10 тыс. транспортных средств)
</v>
      </c>
      <c r="C23" s="70" t="str">
        <f>'2'!C35</f>
        <v>человек на 10 тысяч транспортных средств</v>
      </c>
      <c r="D23" s="93">
        <f>'2'!I35</f>
        <v>2.3092957583201907</v>
      </c>
      <c r="E23" s="93">
        <f>'2'!J35</f>
        <v>7.5395828097511934</v>
      </c>
      <c r="F23" s="93">
        <f t="shared" si="0"/>
        <v>326.48840160844429</v>
      </c>
      <c r="G23" s="85"/>
    </row>
    <row r="24" spans="1:13" x14ac:dyDescent="0.25">
      <c r="A24" s="70"/>
      <c r="B24" s="72" t="str">
        <f>'2'!B36</f>
        <v>Число детей, погибших в дорожно-транспортных происшествиях</v>
      </c>
      <c r="C24" s="70" t="str">
        <f>'2'!C36</f>
        <v xml:space="preserve">человек </v>
      </c>
      <c r="D24" s="93">
        <f>'2'!I36</f>
        <v>0</v>
      </c>
      <c r="E24" s="93">
        <f>'2'!J36</f>
        <v>0</v>
      </c>
      <c r="F24" s="93"/>
      <c r="G24" s="85"/>
    </row>
    <row r="25" spans="1:13" s="89" customFormat="1" x14ac:dyDescent="0.25">
      <c r="A25" s="86"/>
      <c r="B25" s="90" t="s">
        <v>170</v>
      </c>
      <c r="C25" s="86"/>
      <c r="D25" s="94"/>
      <c r="E25" s="94"/>
      <c r="F25" s="93"/>
      <c r="G25" s="85"/>
      <c r="H25" s="66"/>
      <c r="I25" s="66"/>
      <c r="J25" s="66"/>
      <c r="K25" s="66"/>
      <c r="L25" s="66"/>
      <c r="M25" s="66"/>
    </row>
    <row r="26" spans="1:13" ht="31.5" x14ac:dyDescent="0.25">
      <c r="A26" s="70"/>
      <c r="B26" s="72" t="str">
        <f>'2'!B39</f>
        <v>Количество обслуживаемых  телефонных аппаратов телефонной сети общего пользования, на конец периода</v>
      </c>
      <c r="C26" s="70" t="str">
        <f>'2'!C39</f>
        <v>ед.</v>
      </c>
      <c r="D26" s="93">
        <f>'2'!I39</f>
        <v>615</v>
      </c>
      <c r="E26" s="93">
        <f>'2'!J39</f>
        <v>615</v>
      </c>
      <c r="F26" s="93">
        <f t="shared" si="0"/>
        <v>100</v>
      </c>
      <c r="G26" s="85"/>
    </row>
    <row r="27" spans="1:13" x14ac:dyDescent="0.25">
      <c r="A27" s="73"/>
      <c r="B27" s="73"/>
      <c r="C27" s="73"/>
      <c r="D27" s="73"/>
      <c r="E27" s="65"/>
      <c r="F27" s="65"/>
      <c r="G27" s="65"/>
    </row>
    <row r="28" spans="1:13" x14ac:dyDescent="0.25">
      <c r="A28" s="139" t="s">
        <v>160</v>
      </c>
      <c r="B28" s="139"/>
      <c r="C28" s="139"/>
      <c r="D28" s="139"/>
      <c r="E28" s="139"/>
      <c r="F28" s="139"/>
      <c r="G28" s="139"/>
    </row>
    <row r="29" spans="1:13" x14ac:dyDescent="0.25">
      <c r="A29" s="74"/>
      <c r="B29" s="74"/>
      <c r="C29" s="91"/>
      <c r="D29" s="74"/>
      <c r="E29" s="74"/>
      <c r="F29" s="74"/>
      <c r="G29" s="74"/>
    </row>
    <row r="30" spans="1:13" x14ac:dyDescent="0.25">
      <c r="A30" s="65"/>
      <c r="B30" s="75"/>
      <c r="C30" s="65"/>
      <c r="D30" s="76"/>
      <c r="E30" s="77"/>
      <c r="F30" s="77"/>
      <c r="G30" s="77"/>
    </row>
    <row r="31" spans="1:13" ht="55.5" customHeight="1" x14ac:dyDescent="0.25">
      <c r="A31" s="140" t="s">
        <v>161</v>
      </c>
      <c r="B31" s="140"/>
      <c r="C31" s="79"/>
      <c r="D31" s="79"/>
      <c r="F31" s="77"/>
      <c r="G31" s="80" t="s">
        <v>162</v>
      </c>
    </row>
    <row r="32" spans="1:13" x14ac:dyDescent="0.25">
      <c r="A32" s="81"/>
      <c r="B32" s="81"/>
      <c r="C32" s="82"/>
      <c r="D32" s="82"/>
      <c r="E32" s="81"/>
      <c r="F32" s="77"/>
      <c r="G32" s="77"/>
    </row>
    <row r="33" spans="1:7" x14ac:dyDescent="0.25">
      <c r="A33" s="81"/>
      <c r="B33" s="81"/>
      <c r="C33" s="82"/>
      <c r="D33" s="82"/>
      <c r="E33" s="81"/>
      <c r="F33" s="77"/>
      <c r="G33" s="77"/>
    </row>
    <row r="34" spans="1:7" x14ac:dyDescent="0.25">
      <c r="A34" s="81"/>
      <c r="B34" s="81"/>
      <c r="C34" s="82"/>
      <c r="D34" s="82"/>
      <c r="E34" s="81"/>
      <c r="F34" s="77"/>
      <c r="G34" s="77"/>
    </row>
    <row r="35" spans="1:7" x14ac:dyDescent="0.25">
      <c r="A35" s="81"/>
      <c r="B35" s="81"/>
      <c r="C35" s="82"/>
      <c r="D35" s="82"/>
      <c r="E35" s="81"/>
      <c r="F35" s="77"/>
      <c r="G35" s="77"/>
    </row>
    <row r="36" spans="1:7" x14ac:dyDescent="0.2">
      <c r="A36" s="83" t="s">
        <v>163</v>
      </c>
      <c r="B36" s="81"/>
      <c r="C36" s="82"/>
      <c r="D36" s="82"/>
      <c r="E36" s="81"/>
      <c r="F36" s="77"/>
      <c r="G36" s="77"/>
    </row>
    <row r="37" spans="1:7" x14ac:dyDescent="0.2">
      <c r="A37" s="83" t="s">
        <v>164</v>
      </c>
      <c r="B37" s="81"/>
      <c r="C37" s="82"/>
      <c r="D37" s="82"/>
      <c r="E37" s="81"/>
      <c r="F37" s="77"/>
      <c r="G37" s="77"/>
    </row>
    <row r="38" spans="1:7" x14ac:dyDescent="0.25">
      <c r="A38" s="81"/>
      <c r="B38" s="81"/>
      <c r="C38" s="82"/>
      <c r="D38" s="82"/>
      <c r="E38" s="81"/>
      <c r="F38" s="77"/>
      <c r="G38" s="77"/>
    </row>
    <row r="39" spans="1:7" x14ac:dyDescent="0.25">
      <c r="A39" s="81"/>
      <c r="B39" s="81"/>
      <c r="C39" s="82"/>
      <c r="D39" s="82"/>
      <c r="E39" s="81"/>
      <c r="F39" s="77"/>
      <c r="G39" s="77"/>
    </row>
    <row r="40" spans="1:7" x14ac:dyDescent="0.25">
      <c r="A40" s="81"/>
      <c r="B40" s="81"/>
      <c r="C40" s="82"/>
      <c r="D40" s="82"/>
      <c r="E40" s="81"/>
      <c r="F40" s="77"/>
      <c r="G40" s="77"/>
    </row>
    <row r="41" spans="1:7" x14ac:dyDescent="0.25">
      <c r="A41" s="81"/>
      <c r="B41" s="81"/>
      <c r="C41" s="82"/>
      <c r="D41" s="82"/>
      <c r="E41" s="81"/>
      <c r="F41" s="77"/>
      <c r="G41" s="77"/>
    </row>
    <row r="42" spans="1:7" x14ac:dyDescent="0.25">
      <c r="A42" s="81"/>
      <c r="B42" s="81"/>
      <c r="C42" s="82"/>
      <c r="D42" s="82"/>
      <c r="E42" s="81"/>
      <c r="F42" s="77"/>
      <c r="G42" s="77"/>
    </row>
    <row r="43" spans="1:7" x14ac:dyDescent="0.25">
      <c r="A43" s="81"/>
      <c r="B43" s="81"/>
      <c r="C43" s="82"/>
      <c r="D43" s="82"/>
      <c r="E43" s="81"/>
      <c r="F43" s="77"/>
      <c r="G43" s="77"/>
    </row>
    <row r="44" spans="1:7" x14ac:dyDescent="0.25">
      <c r="B44" s="81"/>
      <c r="C44" s="82"/>
      <c r="D44" s="82"/>
      <c r="E44" s="81"/>
    </row>
    <row r="45" spans="1:7" x14ac:dyDescent="0.25">
      <c r="B45" s="81"/>
      <c r="C45" s="82"/>
      <c r="D45" s="82"/>
      <c r="E45" s="81"/>
    </row>
    <row r="46" spans="1:7" x14ac:dyDescent="0.25">
      <c r="B46" s="78"/>
      <c r="C46" s="79"/>
      <c r="D46" s="79"/>
      <c r="E46" s="79"/>
    </row>
    <row r="47" spans="1:7" x14ac:dyDescent="0.25">
      <c r="B47" s="78"/>
      <c r="C47" s="79"/>
      <c r="D47" s="79"/>
      <c r="E47" s="79"/>
    </row>
    <row r="48" spans="1:7" x14ac:dyDescent="0.25">
      <c r="B48" s="81"/>
      <c r="C48" s="92"/>
      <c r="D48" s="81"/>
      <c r="E48" s="81"/>
    </row>
    <row r="110" spans="2:2" x14ac:dyDescent="0.25">
      <c r="B110" s="84"/>
    </row>
    <row r="114" spans="4:4" x14ac:dyDescent="0.25">
      <c r="D114" s="84"/>
    </row>
  </sheetData>
  <mergeCells count="10">
    <mergeCell ref="B9:B10"/>
    <mergeCell ref="A28:G28"/>
    <mergeCell ref="A31:B31"/>
    <mergeCell ref="A4:G4"/>
    <mergeCell ref="A6:A7"/>
    <mergeCell ref="B6:B7"/>
    <mergeCell ref="C6:C7"/>
    <mergeCell ref="D6:E6"/>
    <mergeCell ref="F6:F7"/>
    <mergeCell ref="G6:G7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2"/>
  <sheetViews>
    <sheetView tabSelected="1" view="pageBreakPreview" topLeftCell="A18" zoomScale="60" zoomScaleNormal="85" workbookViewId="0">
      <selection activeCell="T33" sqref="T33"/>
    </sheetView>
  </sheetViews>
  <sheetFormatPr defaultRowHeight="15.75" outlineLevelRow="1" outlineLevelCol="1" x14ac:dyDescent="0.25"/>
  <cols>
    <col min="1" max="1" width="5" style="27" customWidth="1"/>
    <col min="2" max="2" width="23.28515625" style="27" customWidth="1"/>
    <col min="3" max="3" width="11.85546875" style="27" customWidth="1"/>
    <col min="4" max="4" width="10.5703125" style="27" customWidth="1"/>
    <col min="5" max="12" width="13.7109375" style="27" customWidth="1"/>
    <col min="13" max="13" width="25.42578125" style="27" customWidth="1"/>
    <col min="14" max="15" width="0" style="27" hidden="1" customWidth="1" outlineLevel="1"/>
    <col min="16" max="16" width="14.7109375" style="27" hidden="1" customWidth="1" outlineLevel="1"/>
    <col min="17" max="17" width="14.7109375" style="27" hidden="1" customWidth="1" outlineLevel="1" collapsed="1"/>
    <col min="18" max="18" width="10.85546875" style="27" hidden="1" customWidth="1" outlineLevel="1"/>
    <col min="19" max="19" width="9.140625" style="27" collapsed="1"/>
    <col min="20" max="20" width="12.7109375" style="27" bestFit="1" customWidth="1"/>
    <col min="21" max="16384" width="9.140625" style="27"/>
  </cols>
  <sheetData>
    <row r="1" spans="1:21" ht="18.75" x14ac:dyDescent="0.25">
      <c r="L1" s="102" t="s">
        <v>172</v>
      </c>
    </row>
    <row r="2" spans="1:21" ht="18.75" x14ac:dyDescent="0.25">
      <c r="A2" s="31"/>
    </row>
    <row r="3" spans="1:21" ht="18.75" x14ac:dyDescent="0.25">
      <c r="A3" s="28"/>
    </row>
    <row r="4" spans="1:21" ht="18.75" x14ac:dyDescent="0.25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21" ht="18.75" x14ac:dyDescent="0.25">
      <c r="A5" s="150" t="s">
        <v>44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21" ht="18.75" x14ac:dyDescent="0.25">
      <c r="A6" s="150" t="s">
        <v>114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21" ht="22.5" x14ac:dyDescent="0.25">
      <c r="A7" s="167" t="s">
        <v>43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21" ht="18.75" x14ac:dyDescent="0.25">
      <c r="A8" s="150" t="s">
        <v>42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21" ht="18.75" x14ac:dyDescent="0.25">
      <c r="A9" s="28"/>
    </row>
    <row r="10" spans="1:21" ht="45.75" customHeight="1" x14ac:dyDescent="0.25">
      <c r="A10" s="151" t="s">
        <v>41</v>
      </c>
      <c r="B10" s="151" t="s">
        <v>40</v>
      </c>
      <c r="C10" s="151" t="s">
        <v>39</v>
      </c>
      <c r="D10" s="151" t="s">
        <v>38</v>
      </c>
      <c r="E10" s="151">
        <v>2016</v>
      </c>
      <c r="F10" s="151"/>
      <c r="G10" s="151">
        <f>E10+1</f>
        <v>2017</v>
      </c>
      <c r="H10" s="151"/>
      <c r="I10" s="151"/>
      <c r="J10" s="151"/>
      <c r="K10" s="151" t="s">
        <v>37</v>
      </c>
      <c r="L10" s="151"/>
      <c r="M10" s="151" t="s">
        <v>36</v>
      </c>
    </row>
    <row r="11" spans="1:21" ht="45.75" customHeight="1" x14ac:dyDescent="0.25">
      <c r="A11" s="151"/>
      <c r="B11" s="151"/>
      <c r="C11" s="151"/>
      <c r="D11" s="151"/>
      <c r="E11" s="151"/>
      <c r="F11" s="151"/>
      <c r="G11" s="151" t="s">
        <v>35</v>
      </c>
      <c r="H11" s="151"/>
      <c r="I11" s="151" t="s">
        <v>34</v>
      </c>
      <c r="J11" s="151"/>
      <c r="K11" s="151"/>
      <c r="L11" s="151"/>
      <c r="M11" s="151"/>
    </row>
    <row r="12" spans="1:21" ht="45.75" customHeight="1" x14ac:dyDescent="0.25">
      <c r="A12" s="151"/>
      <c r="B12" s="151"/>
      <c r="C12" s="151"/>
      <c r="D12" s="151"/>
      <c r="E12" s="132" t="s">
        <v>10</v>
      </c>
      <c r="F12" s="132" t="s">
        <v>11</v>
      </c>
      <c r="G12" s="132" t="s">
        <v>10</v>
      </c>
      <c r="H12" s="132" t="s">
        <v>11</v>
      </c>
      <c r="I12" s="132" t="s">
        <v>10</v>
      </c>
      <c r="J12" s="132" t="s">
        <v>11</v>
      </c>
      <c r="K12" s="132">
        <f>G10+1</f>
        <v>2018</v>
      </c>
      <c r="L12" s="132">
        <f>K12+1</f>
        <v>2019</v>
      </c>
      <c r="M12" s="151"/>
    </row>
    <row r="13" spans="1:21" x14ac:dyDescent="0.25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2">
        <v>6</v>
      </c>
      <c r="G13" s="132">
        <v>7</v>
      </c>
      <c r="H13" s="132">
        <v>8</v>
      </c>
      <c r="I13" s="132">
        <v>9</v>
      </c>
      <c r="J13" s="132">
        <v>10</v>
      </c>
      <c r="K13" s="132">
        <v>11</v>
      </c>
      <c r="L13" s="132">
        <v>12</v>
      </c>
      <c r="M13" s="132">
        <v>13</v>
      </c>
      <c r="S13" s="27">
        <f>SUM(S14:S21)</f>
        <v>14</v>
      </c>
    </row>
    <row r="14" spans="1:21" x14ac:dyDescent="0.25">
      <c r="A14" s="144" t="s">
        <v>33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S14" s="27">
        <f>COUNT(I15:I16,I25:I27)</f>
        <v>5</v>
      </c>
      <c r="T14" s="210">
        <f>T24/S14</f>
        <v>6.4730650947033064E-2</v>
      </c>
      <c r="U14" s="213">
        <f>S14*T14</f>
        <v>0.32365325473516532</v>
      </c>
    </row>
    <row r="15" spans="1:21" ht="91.5" customHeight="1" x14ac:dyDescent="0.25">
      <c r="A15" s="156">
        <v>1</v>
      </c>
      <c r="B15" s="154" t="s">
        <v>90</v>
      </c>
      <c r="C15" s="132" t="s">
        <v>91</v>
      </c>
      <c r="D15" s="209">
        <f>T$14</f>
        <v>6.4730650947033064E-2</v>
      </c>
      <c r="E15" s="99">
        <v>130.023</v>
      </c>
      <c r="F15" s="99">
        <v>130.023</v>
      </c>
      <c r="G15" s="99">
        <v>129.14699999999999</v>
      </c>
      <c r="H15" s="99">
        <v>156.34</v>
      </c>
      <c r="I15" s="99">
        <v>129.14699999999999</v>
      </c>
      <c r="J15" s="99">
        <v>156.34</v>
      </c>
      <c r="K15" s="99">
        <v>129.14699999999999</v>
      </c>
      <c r="L15" s="99">
        <v>129.14699999999999</v>
      </c>
      <c r="M15" s="30"/>
      <c r="T15" s="210"/>
    </row>
    <row r="16" spans="1:21" ht="91.5" customHeight="1" x14ac:dyDescent="0.25">
      <c r="A16" s="157"/>
      <c r="B16" s="155"/>
      <c r="C16" s="132" t="s">
        <v>92</v>
      </c>
      <c r="D16" s="209">
        <f>T$14</f>
        <v>6.4730650947033064E-2</v>
      </c>
      <c r="E16" s="99">
        <v>47.52</v>
      </c>
      <c r="F16" s="99">
        <v>47.52</v>
      </c>
      <c r="G16" s="99">
        <v>47.2</v>
      </c>
      <c r="H16" s="99">
        <v>57.14</v>
      </c>
      <c r="I16" s="99">
        <v>47.2</v>
      </c>
      <c r="J16" s="99">
        <v>57.14</v>
      </c>
      <c r="K16" s="99">
        <v>47.2</v>
      </c>
      <c r="L16" s="99">
        <v>47.2</v>
      </c>
      <c r="M16" s="30"/>
      <c r="T16" s="210"/>
    </row>
    <row r="17" spans="1:21" x14ac:dyDescent="0.25">
      <c r="A17" s="144" t="s">
        <v>33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S17" s="27">
        <f>COUNT(I18,I30:I31)</f>
        <v>3</v>
      </c>
      <c r="T17" s="211">
        <f>T33/S17</f>
        <v>4.4493067697305212E-4</v>
      </c>
      <c r="U17" s="213">
        <f>S17*T17</f>
        <v>1.3347920309191564E-3</v>
      </c>
    </row>
    <row r="18" spans="1:21" ht="110.25" x14ac:dyDescent="0.25">
      <c r="A18" s="132">
        <v>2</v>
      </c>
      <c r="B18" s="38" t="s">
        <v>93</v>
      </c>
      <c r="C18" s="132" t="s">
        <v>94</v>
      </c>
      <c r="D18" s="208">
        <f>T$17</f>
        <v>4.4493067697305212E-4</v>
      </c>
      <c r="E18" s="100">
        <f>E71</f>
        <v>14.747731839493394</v>
      </c>
      <c r="F18" s="39">
        <v>14.813858612920903</v>
      </c>
      <c r="G18" s="40">
        <f>G71</f>
        <v>13.016730697732061</v>
      </c>
      <c r="H18" s="100">
        <f>H71</f>
        <v>5.3163341182302633</v>
      </c>
      <c r="I18" s="40">
        <f>I71</f>
        <v>13.016730697732061</v>
      </c>
      <c r="J18" s="100">
        <f>J71</f>
        <v>11.721278968893298</v>
      </c>
      <c r="K18" s="100">
        <v>15.319438322523771</v>
      </c>
      <c r="L18" s="100">
        <v>15.567443050934221</v>
      </c>
      <c r="M18" s="30"/>
      <c r="T18" s="211"/>
    </row>
    <row r="19" spans="1:21" x14ac:dyDescent="0.25">
      <c r="A19" s="144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S19" s="27">
        <f>COUNT(I20,I34:I36)</f>
        <v>4</v>
      </c>
      <c r="T19" s="211">
        <f>T33/S19</f>
        <v>3.3369800772978909E-4</v>
      </c>
      <c r="U19" s="213">
        <f>S19*T19</f>
        <v>1.3347920309191564E-3</v>
      </c>
    </row>
    <row r="20" spans="1:21" ht="63" x14ac:dyDescent="0.25">
      <c r="A20" s="132">
        <v>3</v>
      </c>
      <c r="B20" s="38" t="s">
        <v>95</v>
      </c>
      <c r="C20" s="132" t="s">
        <v>96</v>
      </c>
      <c r="D20" s="208">
        <f>T$19</f>
        <v>3.3369800772978909E-4</v>
      </c>
      <c r="E20" s="30">
        <v>0</v>
      </c>
      <c r="F20" s="30">
        <v>0</v>
      </c>
      <c r="G20" s="30">
        <v>1</v>
      </c>
      <c r="H20" s="99">
        <v>1</v>
      </c>
      <c r="I20" s="99">
        <v>1</v>
      </c>
      <c r="J20" s="99">
        <v>3</v>
      </c>
      <c r="K20" s="30">
        <v>0</v>
      </c>
      <c r="L20" s="30">
        <v>1</v>
      </c>
      <c r="M20" s="30"/>
      <c r="T20" s="210"/>
    </row>
    <row r="21" spans="1:21" x14ac:dyDescent="0.25">
      <c r="A21" s="144" t="s">
        <v>33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S21" s="27">
        <f>COUNT(I22,I39)</f>
        <v>2</v>
      </c>
      <c r="T21" s="210">
        <f>T38/S21</f>
        <v>3.6508085834771574E-2</v>
      </c>
      <c r="U21" s="213">
        <f>S21*T21</f>
        <v>7.3016171669543148E-2</v>
      </c>
    </row>
    <row r="22" spans="1:21" ht="47.25" x14ac:dyDescent="0.25">
      <c r="A22" s="132">
        <v>4</v>
      </c>
      <c r="B22" s="38" t="s">
        <v>97</v>
      </c>
      <c r="C22" s="132" t="s">
        <v>98</v>
      </c>
      <c r="D22" s="209">
        <f>T$21</f>
        <v>3.6508085834771574E-2</v>
      </c>
      <c r="E22" s="30">
        <v>8</v>
      </c>
      <c r="F22" s="30">
        <v>8</v>
      </c>
      <c r="G22" s="30">
        <v>8</v>
      </c>
      <c r="H22" s="30">
        <v>8</v>
      </c>
      <c r="I22" s="30">
        <v>8</v>
      </c>
      <c r="J22" s="30">
        <v>8</v>
      </c>
      <c r="K22" s="30">
        <v>8</v>
      </c>
      <c r="L22" s="30">
        <v>8</v>
      </c>
      <c r="M22" s="30"/>
    </row>
    <row r="23" spans="1:21" x14ac:dyDescent="0.25">
      <c r="A23" s="144" t="s">
        <v>146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S23" s="27">
        <f>S24+S29+S33+S38</f>
        <v>169314.76572000002</v>
      </c>
    </row>
    <row r="24" spans="1:21" ht="20.25" customHeight="1" x14ac:dyDescent="0.25">
      <c r="A24" s="147" t="str">
        <f>CONCATENATE("Подпрограмма 1. ",'3'!C26)</f>
        <v>Подпрограмма 1. Развитие транспортного комплекса, обеспечение сохранности и модернизации автомобильных дорог Туруханского района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S24" s="27">
        <f>'3'!M26</f>
        <v>54799.275000000009</v>
      </c>
      <c r="T24" s="27">
        <f>S24/S$23</f>
        <v>0.32365325473516532</v>
      </c>
    </row>
    <row r="25" spans="1:21" ht="78.75" x14ac:dyDescent="0.25">
      <c r="A25" s="132">
        <v>1</v>
      </c>
      <c r="B25" s="30" t="s">
        <v>99</v>
      </c>
      <c r="C25" s="132" t="s">
        <v>91</v>
      </c>
      <c r="D25" s="209">
        <f t="shared" ref="D25:D27" si="0">T$14</f>
        <v>6.4730650947033064E-2</v>
      </c>
      <c r="E25" s="99">
        <v>4.0999999999999996</v>
      </c>
      <c r="F25" s="30">
        <v>3.97</v>
      </c>
      <c r="G25" s="30">
        <v>4.8499999999999996</v>
      </c>
      <c r="H25" s="99">
        <v>0</v>
      </c>
      <c r="I25" s="30">
        <f>J25</f>
        <v>3.7709999999999999</v>
      </c>
      <c r="J25" s="99">
        <v>3.7709999999999999</v>
      </c>
      <c r="K25" s="30">
        <v>4.8499999999999996</v>
      </c>
      <c r="L25" s="30">
        <v>4.8499999999999996</v>
      </c>
      <c r="M25" s="30"/>
    </row>
    <row r="26" spans="1:21" ht="110.25" x14ac:dyDescent="0.25">
      <c r="A26" s="132">
        <v>2</v>
      </c>
      <c r="B26" s="30" t="s">
        <v>100</v>
      </c>
      <c r="C26" s="132" t="s">
        <v>91</v>
      </c>
      <c r="D26" s="209">
        <f t="shared" si="0"/>
        <v>6.4730650947033064E-2</v>
      </c>
      <c r="E26" s="99">
        <v>273.60000000000002</v>
      </c>
      <c r="F26" s="30">
        <v>273.60000000000002</v>
      </c>
      <c r="G26" s="30">
        <v>273.60000000000002</v>
      </c>
      <c r="H26" s="99">
        <v>273.60000000000002</v>
      </c>
      <c r="I26" s="30">
        <v>273.60000000000002</v>
      </c>
      <c r="J26" s="99">
        <v>273.60000000000002</v>
      </c>
      <c r="K26" s="30">
        <v>273.60000000000002</v>
      </c>
      <c r="L26" s="30">
        <v>273.60000000000002</v>
      </c>
      <c r="M26" s="30"/>
    </row>
    <row r="27" spans="1:21" ht="31.5" x14ac:dyDescent="0.25">
      <c r="A27" s="132">
        <v>3</v>
      </c>
      <c r="B27" s="30" t="s">
        <v>101</v>
      </c>
      <c r="C27" s="132" t="s">
        <v>102</v>
      </c>
      <c r="D27" s="209">
        <f t="shared" si="0"/>
        <v>6.4730650947033064E-2</v>
      </c>
      <c r="E27" s="99">
        <v>1</v>
      </c>
      <c r="F27" s="30">
        <v>1</v>
      </c>
      <c r="G27" s="30">
        <v>1</v>
      </c>
      <c r="H27" s="99">
        <v>1</v>
      </c>
      <c r="I27" s="30">
        <v>1</v>
      </c>
      <c r="J27" s="99">
        <v>1</v>
      </c>
      <c r="K27" s="30">
        <v>1</v>
      </c>
      <c r="L27" s="30">
        <v>1</v>
      </c>
      <c r="M27" s="30"/>
    </row>
    <row r="28" spans="1:21" x14ac:dyDescent="0.25">
      <c r="A28" s="144" t="s">
        <v>147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</row>
    <row r="29" spans="1:21" ht="15.75" customHeight="1" x14ac:dyDescent="0.25">
      <c r="A29" s="147" t="str">
        <f>CONCATENATE("Подпрограмма 2. ",'3'!C35)</f>
        <v>Подпрограмма 2. Организация транспортного обслуживания  на территории Туруханского района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S29" s="27">
        <f>'3'!M35</f>
        <v>101926.77472</v>
      </c>
      <c r="T29" s="27">
        <f>S29/S$23</f>
        <v>0.60199578156437228</v>
      </c>
    </row>
    <row r="30" spans="1:21" ht="126" x14ac:dyDescent="0.25">
      <c r="A30" s="132">
        <v>1</v>
      </c>
      <c r="B30" s="30" t="s">
        <v>103</v>
      </c>
      <c r="C30" s="132" t="s">
        <v>105</v>
      </c>
      <c r="D30" s="208">
        <f t="shared" ref="D30:D31" si="1">T$17</f>
        <v>4.4493067697305212E-4</v>
      </c>
      <c r="E30" s="50">
        <v>8.1820000000000004</v>
      </c>
      <c r="F30" s="50">
        <v>8.2880000000000003</v>
      </c>
      <c r="G30" s="50">
        <v>8.3040000000000003</v>
      </c>
      <c r="H30" s="50">
        <v>4.0819999999999999</v>
      </c>
      <c r="I30" s="50">
        <v>8.3040000000000003</v>
      </c>
      <c r="J30" s="50">
        <v>7.5739999999999998</v>
      </c>
      <c r="K30" s="50">
        <v>8.3040000000000003</v>
      </c>
      <c r="L30" s="50">
        <v>8.3040000000000003</v>
      </c>
      <c r="M30" s="30"/>
      <c r="P30" s="123" t="s">
        <v>182</v>
      </c>
      <c r="Q30" s="27" t="s">
        <v>184</v>
      </c>
      <c r="R30" s="27" t="s">
        <v>183</v>
      </c>
    </row>
    <row r="31" spans="1:21" ht="110.25" x14ac:dyDescent="0.25">
      <c r="A31" s="132">
        <v>2</v>
      </c>
      <c r="B31" s="30" t="s">
        <v>104</v>
      </c>
      <c r="C31" s="132" t="s">
        <v>106</v>
      </c>
      <c r="D31" s="208">
        <f t="shared" si="1"/>
        <v>4.4493067697305212E-4</v>
      </c>
      <c r="E31" s="122">
        <v>234.02</v>
      </c>
      <c r="F31" s="122">
        <v>235</v>
      </c>
      <c r="G31" s="121">
        <f>I31</f>
        <v>201.76</v>
      </c>
      <c r="H31" s="121">
        <f>ROUND(J31*0.5*0.9,3)</f>
        <v>81.712999999999994</v>
      </c>
      <c r="I31" s="121">
        <v>201.76</v>
      </c>
      <c r="J31" s="121">
        <f>Q31/1000</f>
        <v>181.584</v>
      </c>
      <c r="K31" s="121">
        <v>235</v>
      </c>
      <c r="L31" s="50">
        <v>235</v>
      </c>
      <c r="M31" s="30"/>
      <c r="N31" s="27" t="s">
        <v>149</v>
      </c>
      <c r="P31" s="62">
        <v>162385</v>
      </c>
      <c r="Q31" s="62">
        <f>I31*0.9*1000</f>
        <v>181584</v>
      </c>
      <c r="R31" s="62">
        <f>Q31-P31</f>
        <v>19199</v>
      </c>
    </row>
    <row r="32" spans="1:21" x14ac:dyDescent="0.25">
      <c r="A32" s="144" t="s">
        <v>181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6"/>
    </row>
    <row r="33" spans="1:20" ht="15.75" customHeight="1" x14ac:dyDescent="0.25">
      <c r="A33" s="147" t="str">
        <f>CONCATENATE("Подпрограмма 3. ",'3'!C35)</f>
        <v>Подпрограмма 3. Организация транспортного обслуживания  на территории Туруханского района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9"/>
      <c r="S33" s="27">
        <f>'3'!M44</f>
        <v>226</v>
      </c>
      <c r="T33" s="27">
        <f>S33/S$23</f>
        <v>1.3347920309191564E-3</v>
      </c>
    </row>
    <row r="34" spans="1:20" ht="110.25" x14ac:dyDescent="0.25">
      <c r="A34" s="132">
        <v>1</v>
      </c>
      <c r="B34" s="30" t="s">
        <v>107</v>
      </c>
      <c r="C34" s="132" t="s">
        <v>108</v>
      </c>
      <c r="D34" s="208">
        <f t="shared" ref="D34:D36" si="2">T$19</f>
        <v>3.3369800772978909E-4</v>
      </c>
      <c r="E34" s="39">
        <v>0</v>
      </c>
      <c r="F34" s="39">
        <v>0</v>
      </c>
      <c r="G34" s="100">
        <v>6.1797058460017311</v>
      </c>
      <c r="H34" s="100">
        <f>H66</f>
        <v>6.196554715578138</v>
      </c>
      <c r="I34" s="100">
        <v>6.1797058460017311</v>
      </c>
      <c r="J34" s="100">
        <f>J66</f>
        <v>18.589664146734414</v>
      </c>
      <c r="K34" s="100">
        <v>0</v>
      </c>
      <c r="L34" s="39">
        <v>6.368209896198179</v>
      </c>
      <c r="M34" s="30"/>
    </row>
    <row r="35" spans="1:20" ht="126" x14ac:dyDescent="0.25">
      <c r="A35" s="132">
        <v>2</v>
      </c>
      <c r="B35" s="30" t="s">
        <v>109</v>
      </c>
      <c r="C35" s="132" t="s">
        <v>110</v>
      </c>
      <c r="D35" s="208">
        <f t="shared" si="2"/>
        <v>3.3369800772978909E-4</v>
      </c>
      <c r="E35" s="39">
        <v>0</v>
      </c>
      <c r="F35" s="39">
        <v>0</v>
      </c>
      <c r="G35" s="100">
        <v>2.3092957583201907</v>
      </c>
      <c r="H35" s="100">
        <f>H67</f>
        <v>2.5131942699170642</v>
      </c>
      <c r="I35" s="100">
        <v>2.3092957583201907</v>
      </c>
      <c r="J35" s="100">
        <f>J67</f>
        <v>7.5395828097511934</v>
      </c>
      <c r="K35" s="100">
        <v>0</v>
      </c>
      <c r="L35" s="39">
        <v>2.2637935087934427</v>
      </c>
      <c r="M35" s="30"/>
    </row>
    <row r="36" spans="1:20" ht="63" x14ac:dyDescent="0.25">
      <c r="A36" s="132">
        <v>3</v>
      </c>
      <c r="B36" s="30" t="s">
        <v>111</v>
      </c>
      <c r="C36" s="132" t="s">
        <v>112</v>
      </c>
      <c r="D36" s="208">
        <f t="shared" si="2"/>
        <v>3.3369800772978909E-4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0"/>
    </row>
    <row r="37" spans="1:20" x14ac:dyDescent="0.25">
      <c r="A37" s="144" t="s">
        <v>148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6"/>
    </row>
    <row r="38" spans="1:20" ht="15.75" customHeight="1" x14ac:dyDescent="0.25">
      <c r="A38" s="147" t="str">
        <f>CONCATENATE("Подпрограмма 4. ",'3'!C53)</f>
        <v>Подпрограмма 4. Развитие связи на территории Туруханского района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  <c r="S38" s="27">
        <f>'3'!M53</f>
        <v>12362.716</v>
      </c>
      <c r="T38" s="27">
        <f>S38/S$23</f>
        <v>7.3016171669543148E-2</v>
      </c>
    </row>
    <row r="39" spans="1:20" ht="110.25" x14ac:dyDescent="0.25">
      <c r="A39" s="132">
        <v>1</v>
      </c>
      <c r="B39" s="30" t="s">
        <v>113</v>
      </c>
      <c r="C39" s="132" t="s">
        <v>98</v>
      </c>
      <c r="D39" s="209">
        <f>T$21</f>
        <v>3.6508085834771574E-2</v>
      </c>
      <c r="E39" s="30">
        <v>606</v>
      </c>
      <c r="F39" s="30">
        <v>615</v>
      </c>
      <c r="G39" s="30">
        <v>615</v>
      </c>
      <c r="H39" s="30">
        <v>615</v>
      </c>
      <c r="I39" s="41">
        <v>615</v>
      </c>
      <c r="J39" s="30">
        <v>615</v>
      </c>
      <c r="K39" s="30">
        <v>615</v>
      </c>
      <c r="L39" s="30">
        <v>615</v>
      </c>
      <c r="M39" s="30"/>
    </row>
    <row r="40" spans="1:2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T40" s="212">
        <f>SUM(D39,D34:D36,D30:D31,D25:D27,D22,D20,D18,D15:D16)</f>
        <v>0.3993390104665468</v>
      </c>
    </row>
    <row r="41" spans="1:2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20" ht="66" customHeight="1" x14ac:dyDescent="0.3">
      <c r="A42" s="182" t="str">
        <f>'1'!A31:B31</f>
        <v>Руководитель управления экономики, 
планирования и перспективного развития 
администрации Туруханского района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3"/>
      <c r="L42" s="153"/>
      <c r="M42" s="29" t="str">
        <f>'1'!G31</f>
        <v>Е. М. Нагорная</v>
      </c>
    </row>
    <row r="43" spans="1:20" ht="18.75" x14ac:dyDescent="0.25">
      <c r="A43" s="28"/>
    </row>
    <row r="44" spans="1:20" ht="18.75" x14ac:dyDescent="0.25">
      <c r="A44" s="28"/>
    </row>
    <row r="45" spans="1:20" ht="18.75" x14ac:dyDescent="0.25">
      <c r="A45" s="28"/>
    </row>
    <row r="46" spans="1:20" ht="18.75" x14ac:dyDescent="0.25">
      <c r="A46" s="28"/>
    </row>
    <row r="47" spans="1:20" ht="18.75" x14ac:dyDescent="0.25">
      <c r="A47" s="28"/>
    </row>
    <row r="48" spans="1:20" ht="18.75" x14ac:dyDescent="0.25">
      <c r="A48" s="28"/>
    </row>
    <row r="49" spans="1:12" ht="18.75" x14ac:dyDescent="0.25">
      <c r="A49" s="28"/>
    </row>
    <row r="50" spans="1:12" ht="18.75" x14ac:dyDescent="0.25">
      <c r="A50" s="28"/>
    </row>
    <row r="51" spans="1:12" ht="18.75" x14ac:dyDescent="0.25">
      <c r="A51" s="28"/>
    </row>
    <row r="52" spans="1:12" ht="18.75" x14ac:dyDescent="0.25">
      <c r="A52" s="28"/>
    </row>
    <row r="53" spans="1:12" ht="18.75" x14ac:dyDescent="0.25">
      <c r="A53" s="28"/>
    </row>
    <row r="54" spans="1:12" ht="18.75" x14ac:dyDescent="0.25">
      <c r="A54" s="28"/>
    </row>
    <row r="55" spans="1:12" ht="18.75" x14ac:dyDescent="0.25">
      <c r="A55" s="28"/>
    </row>
    <row r="56" spans="1:12" ht="18.75" x14ac:dyDescent="0.25">
      <c r="A56" s="28"/>
    </row>
    <row r="57" spans="1:12" ht="18.75" x14ac:dyDescent="0.25">
      <c r="A57" s="28"/>
    </row>
    <row r="58" spans="1:12" ht="18.75" x14ac:dyDescent="0.25">
      <c r="A58" s="28"/>
    </row>
    <row r="59" spans="1:12" x14ac:dyDescent="0.25">
      <c r="A59" s="185" t="str">
        <f>'1'!$A$36</f>
        <v>Моховикова Наталья Леонидовна</v>
      </c>
    </row>
    <row r="60" spans="1:12" x14ac:dyDescent="0.25">
      <c r="A60" s="185" t="str">
        <f>'1'!$A$37</f>
        <v>(39190) 44580</v>
      </c>
    </row>
    <row r="61" spans="1:12" ht="18.75" x14ac:dyDescent="0.25">
      <c r="A61" s="28"/>
    </row>
    <row r="62" spans="1:12" ht="19.5" hidden="1" outlineLevel="1" thickBot="1" x14ac:dyDescent="0.3">
      <c r="A62" s="28"/>
      <c r="B62" s="27" t="s">
        <v>154</v>
      </c>
      <c r="E62" s="27">
        <f>E20</f>
        <v>0</v>
      </c>
      <c r="F62" s="27">
        <f>F20</f>
        <v>0</v>
      </c>
      <c r="G62" s="27">
        <f>G20</f>
        <v>1</v>
      </c>
      <c r="H62" s="58">
        <f>H20</f>
        <v>1</v>
      </c>
      <c r="I62" s="27">
        <f>I20</f>
        <v>1</v>
      </c>
      <c r="J62" s="58">
        <f>J20</f>
        <v>3</v>
      </c>
      <c r="K62" s="55">
        <f>K20</f>
        <v>0</v>
      </c>
      <c r="L62" s="55">
        <f>L20</f>
        <v>1</v>
      </c>
    </row>
    <row r="63" spans="1:12" ht="16.5" hidden="1" outlineLevel="1" thickBot="1" x14ac:dyDescent="0.3">
      <c r="B63" s="27" t="s">
        <v>151</v>
      </c>
      <c r="E63" s="51">
        <v>16423</v>
      </c>
      <c r="F63" s="52">
        <v>16423</v>
      </c>
      <c r="G63" s="51">
        <v>16138</v>
      </c>
      <c r="H63" s="61">
        <v>16138</v>
      </c>
      <c r="I63" s="53">
        <v>16138</v>
      </c>
      <c r="J63" s="59">
        <v>16138</v>
      </c>
      <c r="K63" s="56">
        <v>15868</v>
      </c>
      <c r="L63" s="56">
        <v>15612</v>
      </c>
    </row>
    <row r="64" spans="1:12" ht="16.5" hidden="1" outlineLevel="1" thickBot="1" x14ac:dyDescent="0.3">
      <c r="B64" s="27" t="s">
        <v>150</v>
      </c>
      <c r="E64" s="51">
        <v>4049</v>
      </c>
      <c r="F64" s="52">
        <v>4049</v>
      </c>
      <c r="G64" s="51">
        <f>ROUND(G63/$F63*$F64,0)</f>
        <v>3979</v>
      </c>
      <c r="H64" s="61">
        <f t="shared" ref="H64:L64" si="3">ROUND(H63/$F63*$F64,0)</f>
        <v>3979</v>
      </c>
      <c r="I64" s="53">
        <f t="shared" si="3"/>
        <v>3979</v>
      </c>
      <c r="J64" s="59">
        <f t="shared" si="3"/>
        <v>3979</v>
      </c>
      <c r="K64" s="56">
        <f t="shared" si="3"/>
        <v>3912</v>
      </c>
      <c r="L64" s="56">
        <f t="shared" si="3"/>
        <v>3849</v>
      </c>
    </row>
    <row r="65" spans="2:12" hidden="1" outlineLevel="1" x14ac:dyDescent="0.25">
      <c r="H65" s="58"/>
      <c r="J65" s="58"/>
      <c r="K65" s="55"/>
      <c r="L65" s="55"/>
    </row>
    <row r="66" spans="2:12" hidden="1" outlineLevel="1" x14ac:dyDescent="0.25">
      <c r="B66" s="27" t="s">
        <v>152</v>
      </c>
      <c r="E66" s="54">
        <f>E62/E63*100*1000</f>
        <v>0</v>
      </c>
      <c r="F66" s="54">
        <f t="shared" ref="F66:L66" si="4">F62/F63*100*1000</f>
        <v>0</v>
      </c>
      <c r="G66" s="54">
        <f t="shared" si="4"/>
        <v>6.196554715578138</v>
      </c>
      <c r="H66" s="60">
        <f t="shared" si="4"/>
        <v>6.196554715578138</v>
      </c>
      <c r="I66" s="54">
        <f t="shared" si="4"/>
        <v>6.196554715578138</v>
      </c>
      <c r="J66" s="60">
        <f t="shared" si="4"/>
        <v>18.589664146734414</v>
      </c>
      <c r="K66" s="57">
        <f t="shared" si="4"/>
        <v>0</v>
      </c>
      <c r="L66" s="57">
        <f t="shared" si="4"/>
        <v>6.4053292339226235</v>
      </c>
    </row>
    <row r="67" spans="2:12" hidden="1" outlineLevel="1" x14ac:dyDescent="0.25">
      <c r="B67" s="27" t="s">
        <v>153</v>
      </c>
      <c r="E67" s="54">
        <f>E62/E64*10*1000</f>
        <v>0</v>
      </c>
      <c r="F67" s="54">
        <f t="shared" ref="F67:L67" si="5">F62/F64*10*1000</f>
        <v>0</v>
      </c>
      <c r="G67" s="54">
        <f t="shared" si="5"/>
        <v>2.5131942699170642</v>
      </c>
      <c r="H67" s="60">
        <f t="shared" si="5"/>
        <v>2.5131942699170642</v>
      </c>
      <c r="I67" s="54">
        <f t="shared" si="5"/>
        <v>2.5131942699170642</v>
      </c>
      <c r="J67" s="60">
        <f t="shared" si="5"/>
        <v>7.5395828097511934</v>
      </c>
      <c r="K67" s="57">
        <f t="shared" si="5"/>
        <v>0</v>
      </c>
      <c r="L67" s="57">
        <f t="shared" si="5"/>
        <v>2.5980774227071968</v>
      </c>
    </row>
    <row r="68" spans="2:12" hidden="1" outlineLevel="1" x14ac:dyDescent="0.25"/>
    <row r="69" spans="2:12" hidden="1" outlineLevel="1" x14ac:dyDescent="0.25"/>
    <row r="70" spans="2:12" hidden="1" outlineLevel="1" x14ac:dyDescent="0.25">
      <c r="E70" s="64">
        <f>E30+E31</f>
        <v>242.202</v>
      </c>
      <c r="F70" s="63">
        <f>F30+F31</f>
        <v>243.28800000000001</v>
      </c>
      <c r="G70" s="63">
        <f>G30+G31</f>
        <v>210.06399999999999</v>
      </c>
      <c r="H70" s="64">
        <f>H30+H31</f>
        <v>85.794999999999987</v>
      </c>
      <c r="I70" s="63">
        <f>I30+I31</f>
        <v>210.06399999999999</v>
      </c>
      <c r="J70" s="64">
        <f>J30+J31</f>
        <v>189.15800000000002</v>
      </c>
      <c r="K70" s="63">
        <f>K30+K31</f>
        <v>243.304</v>
      </c>
      <c r="L70" s="63">
        <f>L30+L31</f>
        <v>243.304</v>
      </c>
    </row>
    <row r="71" spans="2:12" hidden="1" outlineLevel="1" x14ac:dyDescent="0.25">
      <c r="B71" s="27" t="s">
        <v>155</v>
      </c>
      <c r="E71" s="64">
        <f>E70*1000/E63</f>
        <v>14.747731839493394</v>
      </c>
      <c r="F71" s="63">
        <f t="shared" ref="F71:L71" si="6">F70*1000/F63</f>
        <v>14.813858612920903</v>
      </c>
      <c r="G71" s="63">
        <f t="shared" si="6"/>
        <v>13.016730697732061</v>
      </c>
      <c r="H71" s="64">
        <f t="shared" si="6"/>
        <v>5.3163341182302633</v>
      </c>
      <c r="I71" s="63">
        <f t="shared" si="6"/>
        <v>13.016730697732061</v>
      </c>
      <c r="J71" s="64">
        <f t="shared" si="6"/>
        <v>11.721278968893298</v>
      </c>
      <c r="K71" s="63">
        <f t="shared" si="6"/>
        <v>15.332997227123771</v>
      </c>
      <c r="L71" s="63">
        <f t="shared" si="6"/>
        <v>15.5844222393031</v>
      </c>
    </row>
    <row r="72" spans="2:12" collapsed="1" x14ac:dyDescent="0.25"/>
  </sheetData>
  <mergeCells count="31">
    <mergeCell ref="A42:J42"/>
    <mergeCell ref="K42:L42"/>
    <mergeCell ref="A7:M7"/>
    <mergeCell ref="K10:L11"/>
    <mergeCell ref="M10:M12"/>
    <mergeCell ref="G11:H11"/>
    <mergeCell ref="I11:J11"/>
    <mergeCell ref="A14:M14"/>
    <mergeCell ref="A23:M23"/>
    <mergeCell ref="A24:M24"/>
    <mergeCell ref="B15:B16"/>
    <mergeCell ref="A15:A16"/>
    <mergeCell ref="A17:M17"/>
    <mergeCell ref="A19:M19"/>
    <mergeCell ref="A21:M21"/>
    <mergeCell ref="A38:M38"/>
    <mergeCell ref="A4:M4"/>
    <mergeCell ref="A5:M5"/>
    <mergeCell ref="A6:M6"/>
    <mergeCell ref="A8:M8"/>
    <mergeCell ref="A10:A12"/>
    <mergeCell ref="B10:B12"/>
    <mergeCell ref="C10:C12"/>
    <mergeCell ref="D10:D12"/>
    <mergeCell ref="E10:F11"/>
    <mergeCell ref="G10:J10"/>
    <mergeCell ref="A28:M28"/>
    <mergeCell ref="A29:M29"/>
    <mergeCell ref="A32:M32"/>
    <mergeCell ref="A33:M33"/>
    <mergeCell ref="A37:M37"/>
  </mergeCells>
  <pageMargins left="0.78740157480314965" right="0.78740157480314965" top="1.1811023622047245" bottom="0.47" header="0.31496062992125984" footer="0.31496062992125984"/>
  <pageSetup paperSize="9" scale="69" fitToHeight="0" orientation="landscape" horizontalDpi="0" verticalDpi="0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3"/>
  <sheetViews>
    <sheetView view="pageBreakPreview" topLeftCell="A34" zoomScale="60" zoomScaleNormal="55" workbookViewId="0">
      <selection activeCell="I16" sqref="I16"/>
    </sheetView>
  </sheetViews>
  <sheetFormatPr defaultRowHeight="15.75" x14ac:dyDescent="0.25"/>
  <cols>
    <col min="1" max="1" width="6.42578125" style="27" customWidth="1"/>
    <col min="2" max="2" width="23.140625" style="27" customWidth="1"/>
    <col min="3" max="3" width="22.28515625" style="27" customWidth="1"/>
    <col min="4" max="4" width="45.42578125" style="27" customWidth="1"/>
    <col min="5" max="5" width="8.42578125" style="27" customWidth="1"/>
    <col min="6" max="8" width="8" style="27" customWidth="1"/>
    <col min="9" max="10" width="15.7109375" style="27" customWidth="1"/>
    <col min="11" max="11" width="17.28515625" style="27" customWidth="1"/>
    <col min="12" max="12" width="15.28515625" style="27" customWidth="1"/>
    <col min="13" max="13" width="16.85546875" style="27" customWidth="1"/>
    <col min="14" max="14" width="16.28515625" style="27" customWidth="1"/>
    <col min="15" max="16" width="16.85546875" style="27" customWidth="1"/>
    <col min="17" max="17" width="18.28515625" style="27" customWidth="1"/>
    <col min="18" max="16384" width="9.140625" style="27"/>
  </cols>
  <sheetData>
    <row r="1" spans="1:17" ht="18.75" x14ac:dyDescent="0.25">
      <c r="O1" s="102" t="s">
        <v>173</v>
      </c>
    </row>
    <row r="2" spans="1:17" ht="18.75" x14ac:dyDescent="0.25">
      <c r="A2" s="28"/>
    </row>
    <row r="3" spans="1:17" ht="18.75" x14ac:dyDescent="0.25">
      <c r="A3" s="28"/>
    </row>
    <row r="4" spans="1:17" ht="18.75" x14ac:dyDescent="0.25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ht="18.75" x14ac:dyDescent="0.25">
      <c r="A5" s="150" t="s">
        <v>62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7" ht="18.75" x14ac:dyDescent="0.25">
      <c r="A6" s="150" t="s">
        <v>179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7" spans="1:17" ht="22.5" x14ac:dyDescent="0.25">
      <c r="A7" s="167" t="s">
        <v>61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</row>
    <row r="8" spans="1:17" ht="18.75" x14ac:dyDescent="0.25">
      <c r="A8" s="150" t="s">
        <v>60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17" ht="18.75" x14ac:dyDescent="0.25">
      <c r="A9" s="150" t="s">
        <v>59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</row>
    <row r="10" spans="1:17" ht="18.75" x14ac:dyDescent="0.25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</row>
    <row r="11" spans="1:17" ht="18.75" x14ac:dyDescent="0.25">
      <c r="A11" s="28"/>
    </row>
    <row r="12" spans="1:17" ht="16.5" thickBot="1" x14ac:dyDescent="0.3">
      <c r="A12" s="151" t="s">
        <v>41</v>
      </c>
      <c r="B12" s="151" t="s">
        <v>58</v>
      </c>
      <c r="C12" s="151" t="s">
        <v>57</v>
      </c>
      <c r="D12" s="151" t="s">
        <v>52</v>
      </c>
      <c r="E12" s="151" t="s">
        <v>56</v>
      </c>
      <c r="F12" s="151"/>
      <c r="G12" s="151"/>
      <c r="H12" s="151"/>
      <c r="I12" s="151" t="s">
        <v>55</v>
      </c>
      <c r="J12" s="151"/>
      <c r="K12" s="156"/>
      <c r="L12" s="156"/>
      <c r="M12" s="156"/>
      <c r="N12" s="156"/>
      <c r="O12" s="151"/>
      <c r="P12" s="151"/>
      <c r="Q12" s="151" t="s">
        <v>54</v>
      </c>
    </row>
    <row r="13" spans="1:17" x14ac:dyDescent="0.25">
      <c r="A13" s="151"/>
      <c r="B13" s="151"/>
      <c r="C13" s="151"/>
      <c r="D13" s="151"/>
      <c r="E13" s="151"/>
      <c r="F13" s="151"/>
      <c r="G13" s="151"/>
      <c r="H13" s="151"/>
      <c r="I13" s="151">
        <f>'2'!E10</f>
        <v>2016</v>
      </c>
      <c r="J13" s="160"/>
      <c r="K13" s="161">
        <f>'2'!G10</f>
        <v>2017</v>
      </c>
      <c r="L13" s="162"/>
      <c r="M13" s="162"/>
      <c r="N13" s="163"/>
      <c r="O13" s="164" t="s">
        <v>53</v>
      </c>
      <c r="P13" s="151"/>
      <c r="Q13" s="151"/>
    </row>
    <row r="14" spans="1:17" x14ac:dyDescent="0.25">
      <c r="A14" s="151"/>
      <c r="B14" s="151"/>
      <c r="C14" s="151"/>
      <c r="D14" s="151"/>
      <c r="E14" s="151" t="s">
        <v>52</v>
      </c>
      <c r="F14" s="151" t="s">
        <v>51</v>
      </c>
      <c r="G14" s="151" t="s">
        <v>50</v>
      </c>
      <c r="H14" s="151" t="s">
        <v>49</v>
      </c>
      <c r="I14" s="151"/>
      <c r="J14" s="160"/>
      <c r="K14" s="165" t="s">
        <v>35</v>
      </c>
      <c r="L14" s="151"/>
      <c r="M14" s="151" t="s">
        <v>34</v>
      </c>
      <c r="N14" s="166"/>
      <c r="O14" s="164"/>
      <c r="P14" s="151"/>
      <c r="Q14" s="151"/>
    </row>
    <row r="15" spans="1:17" x14ac:dyDescent="0.25">
      <c r="A15" s="151"/>
      <c r="B15" s="151"/>
      <c r="C15" s="151"/>
      <c r="D15" s="151"/>
      <c r="E15" s="151"/>
      <c r="F15" s="151"/>
      <c r="G15" s="151"/>
      <c r="H15" s="151"/>
      <c r="I15" s="132" t="s">
        <v>10</v>
      </c>
      <c r="J15" s="134" t="s">
        <v>11</v>
      </c>
      <c r="K15" s="136" t="s">
        <v>10</v>
      </c>
      <c r="L15" s="132" t="s">
        <v>11</v>
      </c>
      <c r="M15" s="132" t="s">
        <v>10</v>
      </c>
      <c r="N15" s="137" t="s">
        <v>11</v>
      </c>
      <c r="O15" s="135">
        <f>'2'!K12</f>
        <v>2018</v>
      </c>
      <c r="P15" s="132">
        <f>'2'!L12</f>
        <v>2019</v>
      </c>
      <c r="Q15" s="151"/>
    </row>
    <row r="16" spans="1:17" x14ac:dyDescent="0.25">
      <c r="A16" s="132">
        <v>1</v>
      </c>
      <c r="B16" s="132">
        <v>2</v>
      </c>
      <c r="C16" s="132">
        <v>3</v>
      </c>
      <c r="D16" s="132">
        <v>4</v>
      </c>
      <c r="E16" s="132">
        <v>5</v>
      </c>
      <c r="F16" s="132">
        <v>6</v>
      </c>
      <c r="G16" s="132">
        <v>7</v>
      </c>
      <c r="H16" s="132">
        <v>8</v>
      </c>
      <c r="I16" s="132">
        <v>9</v>
      </c>
      <c r="J16" s="134">
        <v>10</v>
      </c>
      <c r="K16" s="136">
        <v>11</v>
      </c>
      <c r="L16" s="132">
        <v>12</v>
      </c>
      <c r="M16" s="132">
        <v>13</v>
      </c>
      <c r="N16" s="137">
        <v>14</v>
      </c>
      <c r="O16" s="135">
        <v>15</v>
      </c>
      <c r="P16" s="132">
        <v>16</v>
      </c>
      <c r="Q16" s="132">
        <v>17</v>
      </c>
    </row>
    <row r="17" spans="1:17" x14ac:dyDescent="0.25">
      <c r="A17" s="158">
        <v>1</v>
      </c>
      <c r="B17" s="159" t="s">
        <v>48</v>
      </c>
      <c r="C17" s="159" t="s">
        <v>115</v>
      </c>
      <c r="D17" s="103" t="s">
        <v>47</v>
      </c>
      <c r="E17" s="103"/>
      <c r="F17" s="103"/>
      <c r="G17" s="103"/>
      <c r="H17" s="103"/>
      <c r="I17" s="104">
        <f t="shared" ref="I17:P17" si="0">SUM(I19:I25)</f>
        <v>171574.49900000001</v>
      </c>
      <c r="J17" s="105">
        <f t="shared" si="0"/>
        <v>168993.47096999999</v>
      </c>
      <c r="K17" s="106">
        <f t="shared" si="0"/>
        <v>174513.47500000001</v>
      </c>
      <c r="L17" s="104">
        <f t="shared" si="0"/>
        <v>53591.283089999997</v>
      </c>
      <c r="M17" s="104">
        <f t="shared" si="0"/>
        <v>169314.76572000002</v>
      </c>
      <c r="N17" s="107">
        <f t="shared" si="0"/>
        <v>155455.69514</v>
      </c>
      <c r="O17" s="108">
        <f t="shared" si="0"/>
        <v>117210.68500000001</v>
      </c>
      <c r="P17" s="104">
        <f t="shared" si="0"/>
        <v>117210.68500000001</v>
      </c>
      <c r="Q17" s="30"/>
    </row>
    <row r="18" spans="1:17" x14ac:dyDescent="0.25">
      <c r="A18" s="158"/>
      <c r="B18" s="159"/>
      <c r="C18" s="159"/>
      <c r="D18" s="30" t="s">
        <v>46</v>
      </c>
      <c r="E18" s="30"/>
      <c r="F18" s="30"/>
      <c r="G18" s="30"/>
      <c r="H18" s="30"/>
      <c r="I18" s="37"/>
      <c r="J18" s="109"/>
      <c r="K18" s="43"/>
      <c r="L18" s="37"/>
      <c r="M18" s="37"/>
      <c r="N18" s="44"/>
      <c r="O18" s="42"/>
      <c r="P18" s="37"/>
      <c r="Q18" s="30"/>
    </row>
    <row r="19" spans="1:17" ht="31.5" x14ac:dyDescent="0.25">
      <c r="A19" s="158"/>
      <c r="B19" s="159"/>
      <c r="C19" s="159"/>
      <c r="D19" s="30" t="s">
        <v>72</v>
      </c>
      <c r="E19" s="132" t="s">
        <v>79</v>
      </c>
      <c r="F19" s="30"/>
      <c r="G19" s="30"/>
      <c r="H19" s="30"/>
      <c r="I19" s="37">
        <f t="shared" ref="I19:P25" si="1">SUMIF($D$26:$D$61,$D19,I$26:I$61)</f>
        <v>0</v>
      </c>
      <c r="J19" s="109">
        <f t="shared" si="1"/>
        <v>0</v>
      </c>
      <c r="K19" s="43">
        <f t="shared" si="1"/>
        <v>0</v>
      </c>
      <c r="L19" s="37">
        <f t="shared" si="1"/>
        <v>0</v>
      </c>
      <c r="M19" s="37">
        <f t="shared" si="1"/>
        <v>0</v>
      </c>
      <c r="N19" s="44">
        <f t="shared" si="1"/>
        <v>0</v>
      </c>
      <c r="O19" s="42">
        <f t="shared" si="1"/>
        <v>0</v>
      </c>
      <c r="P19" s="37">
        <f t="shared" si="1"/>
        <v>0</v>
      </c>
      <c r="Q19" s="30"/>
    </row>
    <row r="20" spans="1:17" x14ac:dyDescent="0.25">
      <c r="A20" s="158"/>
      <c r="B20" s="159"/>
      <c r="C20" s="159"/>
      <c r="D20" s="30" t="s">
        <v>73</v>
      </c>
      <c r="E20" s="132" t="s">
        <v>80</v>
      </c>
      <c r="F20" s="30"/>
      <c r="G20" s="30"/>
      <c r="H20" s="30"/>
      <c r="I20" s="37">
        <f t="shared" si="1"/>
        <v>105641.1</v>
      </c>
      <c r="J20" s="109">
        <f t="shared" si="1"/>
        <v>104171.10696999999</v>
      </c>
      <c r="K20" s="43">
        <f t="shared" si="1"/>
        <v>119321.1</v>
      </c>
      <c r="L20" s="37">
        <f t="shared" si="1"/>
        <v>39199.954089999999</v>
      </c>
      <c r="M20" s="37">
        <f t="shared" si="1"/>
        <v>111926.77472</v>
      </c>
      <c r="N20" s="44">
        <f t="shared" si="1"/>
        <v>101047.03128999998</v>
      </c>
      <c r="O20" s="42">
        <f t="shared" si="1"/>
        <v>104321.1</v>
      </c>
      <c r="P20" s="37">
        <f t="shared" si="1"/>
        <v>104321.1</v>
      </c>
      <c r="Q20" s="30"/>
    </row>
    <row r="21" spans="1:17" ht="31.5" x14ac:dyDescent="0.25">
      <c r="A21" s="158"/>
      <c r="B21" s="159"/>
      <c r="C21" s="159"/>
      <c r="D21" s="30" t="s">
        <v>74</v>
      </c>
      <c r="E21" s="132" t="s">
        <v>81</v>
      </c>
      <c r="F21" s="30"/>
      <c r="G21" s="30"/>
      <c r="H21" s="30"/>
      <c r="I21" s="37">
        <f t="shared" si="1"/>
        <v>2197.375</v>
      </c>
      <c r="J21" s="109">
        <f t="shared" si="1"/>
        <v>2196.9839999999999</v>
      </c>
      <c r="K21" s="43">
        <f t="shared" si="1"/>
        <v>1650.83</v>
      </c>
      <c r="L21" s="37">
        <f t="shared" si="1"/>
        <v>0</v>
      </c>
      <c r="M21" s="37">
        <f t="shared" si="1"/>
        <v>4013.5459999999998</v>
      </c>
      <c r="N21" s="44">
        <f t="shared" si="1"/>
        <v>3915.5459999999998</v>
      </c>
      <c r="O21" s="42">
        <f t="shared" si="1"/>
        <v>1650.83</v>
      </c>
      <c r="P21" s="37">
        <f t="shared" si="1"/>
        <v>1650.83</v>
      </c>
      <c r="Q21" s="30"/>
    </row>
    <row r="22" spans="1:17" ht="31.5" x14ac:dyDescent="0.25">
      <c r="A22" s="158"/>
      <c r="B22" s="159"/>
      <c r="C22" s="159"/>
      <c r="D22" s="30" t="s">
        <v>75</v>
      </c>
      <c r="E22" s="132" t="s">
        <v>82</v>
      </c>
      <c r="F22" s="30"/>
      <c r="G22" s="30"/>
      <c r="H22" s="30"/>
      <c r="I22" s="37">
        <f t="shared" si="1"/>
        <v>5.3239999999999998</v>
      </c>
      <c r="J22" s="109">
        <f t="shared" si="1"/>
        <v>5.3239999999999998</v>
      </c>
      <c r="K22" s="43">
        <f t="shared" si="1"/>
        <v>5.5</v>
      </c>
      <c r="L22" s="37">
        <f t="shared" si="1"/>
        <v>0</v>
      </c>
      <c r="M22" s="37">
        <f t="shared" si="1"/>
        <v>5.5</v>
      </c>
      <c r="N22" s="44">
        <f t="shared" si="1"/>
        <v>5.5</v>
      </c>
      <c r="O22" s="42">
        <f t="shared" si="1"/>
        <v>0</v>
      </c>
      <c r="P22" s="37">
        <f t="shared" si="1"/>
        <v>0</v>
      </c>
      <c r="Q22" s="30"/>
    </row>
    <row r="23" spans="1:17" ht="47.25" x14ac:dyDescent="0.25">
      <c r="A23" s="158"/>
      <c r="B23" s="159"/>
      <c r="C23" s="159"/>
      <c r="D23" s="30" t="s">
        <v>76</v>
      </c>
      <c r="E23" s="132" t="s">
        <v>83</v>
      </c>
      <c r="F23" s="30"/>
      <c r="G23" s="30"/>
      <c r="H23" s="30"/>
      <c r="I23" s="37">
        <f t="shared" si="1"/>
        <v>0</v>
      </c>
      <c r="J23" s="109">
        <f t="shared" si="1"/>
        <v>0</v>
      </c>
      <c r="K23" s="43">
        <f t="shared" si="1"/>
        <v>0</v>
      </c>
      <c r="L23" s="37">
        <f t="shared" si="1"/>
        <v>0</v>
      </c>
      <c r="M23" s="37">
        <f t="shared" si="1"/>
        <v>0</v>
      </c>
      <c r="N23" s="44">
        <f t="shared" si="1"/>
        <v>0</v>
      </c>
      <c r="O23" s="42">
        <f t="shared" si="1"/>
        <v>0</v>
      </c>
      <c r="P23" s="37">
        <f t="shared" si="1"/>
        <v>0</v>
      </c>
      <c r="Q23" s="30"/>
    </row>
    <row r="24" spans="1:17" ht="31.5" x14ac:dyDescent="0.25">
      <c r="A24" s="158"/>
      <c r="B24" s="159"/>
      <c r="C24" s="159"/>
      <c r="D24" s="30" t="s">
        <v>77</v>
      </c>
      <c r="E24" s="132" t="s">
        <v>84</v>
      </c>
      <c r="F24" s="30"/>
      <c r="G24" s="30"/>
      <c r="H24" s="30"/>
      <c r="I24" s="37">
        <f t="shared" si="1"/>
        <v>0</v>
      </c>
      <c r="J24" s="109">
        <f t="shared" si="1"/>
        <v>0</v>
      </c>
      <c r="K24" s="43">
        <f t="shared" si="1"/>
        <v>0</v>
      </c>
      <c r="L24" s="37">
        <f t="shared" si="1"/>
        <v>0</v>
      </c>
      <c r="M24" s="37">
        <f t="shared" si="1"/>
        <v>0</v>
      </c>
      <c r="N24" s="44">
        <f t="shared" si="1"/>
        <v>0</v>
      </c>
      <c r="O24" s="42">
        <f t="shared" si="1"/>
        <v>0</v>
      </c>
      <c r="P24" s="37">
        <f t="shared" si="1"/>
        <v>0</v>
      </c>
      <c r="Q24" s="30"/>
    </row>
    <row r="25" spans="1:17" ht="31.5" x14ac:dyDescent="0.25">
      <c r="A25" s="158"/>
      <c r="B25" s="159"/>
      <c r="C25" s="159"/>
      <c r="D25" s="30" t="s">
        <v>78</v>
      </c>
      <c r="E25" s="132" t="s">
        <v>85</v>
      </c>
      <c r="F25" s="30"/>
      <c r="G25" s="30"/>
      <c r="H25" s="30"/>
      <c r="I25" s="37">
        <f t="shared" si="1"/>
        <v>63730.700000000004</v>
      </c>
      <c r="J25" s="109">
        <f t="shared" si="1"/>
        <v>62620.056000000004</v>
      </c>
      <c r="K25" s="43">
        <f t="shared" si="1"/>
        <v>53536.045000000006</v>
      </c>
      <c r="L25" s="37">
        <f t="shared" si="1"/>
        <v>14391.328999999998</v>
      </c>
      <c r="M25" s="37">
        <f t="shared" si="1"/>
        <v>53368.945000000007</v>
      </c>
      <c r="N25" s="44">
        <f t="shared" si="1"/>
        <v>50487.617850000002</v>
      </c>
      <c r="O25" s="42">
        <f t="shared" si="1"/>
        <v>11238.755000000001</v>
      </c>
      <c r="P25" s="37">
        <f t="shared" si="1"/>
        <v>11238.755000000001</v>
      </c>
      <c r="Q25" s="30"/>
    </row>
    <row r="26" spans="1:17" x14ac:dyDescent="0.25">
      <c r="A26" s="158">
        <v>2</v>
      </c>
      <c r="B26" s="159" t="s">
        <v>7</v>
      </c>
      <c r="C26" s="159" t="s">
        <v>116</v>
      </c>
      <c r="D26" s="110" t="s">
        <v>47</v>
      </c>
      <c r="E26" s="110"/>
      <c r="F26" s="110"/>
      <c r="G26" s="110"/>
      <c r="H26" s="110"/>
      <c r="I26" s="111">
        <f t="shared" ref="I26:P26" si="2">SUM(I28:I34)</f>
        <v>65695.274999999994</v>
      </c>
      <c r="J26" s="112">
        <f t="shared" si="2"/>
        <v>64679.243999999999</v>
      </c>
      <c r="K26" s="113">
        <f t="shared" si="2"/>
        <v>54966.375000000007</v>
      </c>
      <c r="L26" s="111">
        <f t="shared" si="2"/>
        <v>14391.328999999998</v>
      </c>
      <c r="M26" s="111">
        <f t="shared" si="2"/>
        <v>54799.275000000009</v>
      </c>
      <c r="N26" s="114">
        <f t="shared" si="2"/>
        <v>51991.447850000004</v>
      </c>
      <c r="O26" s="115">
        <f t="shared" si="2"/>
        <v>12889.585000000001</v>
      </c>
      <c r="P26" s="111">
        <f t="shared" si="2"/>
        <v>12889.585000000001</v>
      </c>
      <c r="Q26" s="35"/>
    </row>
    <row r="27" spans="1:17" x14ac:dyDescent="0.25">
      <c r="A27" s="158"/>
      <c r="B27" s="159"/>
      <c r="C27" s="159"/>
      <c r="D27" s="30" t="s">
        <v>46</v>
      </c>
      <c r="E27" s="30"/>
      <c r="F27" s="30"/>
      <c r="G27" s="30"/>
      <c r="H27" s="30"/>
      <c r="I27" s="37"/>
      <c r="J27" s="109"/>
      <c r="K27" s="43"/>
      <c r="L27" s="37"/>
      <c r="M27" s="37"/>
      <c r="N27" s="44"/>
      <c r="O27" s="42"/>
      <c r="P27" s="37"/>
      <c r="Q27" s="30"/>
    </row>
    <row r="28" spans="1:17" ht="31.5" x14ac:dyDescent="0.25">
      <c r="A28" s="158"/>
      <c r="B28" s="159"/>
      <c r="C28" s="159"/>
      <c r="D28" s="30" t="s">
        <v>72</v>
      </c>
      <c r="E28" s="132" t="s">
        <v>79</v>
      </c>
      <c r="F28" s="48"/>
      <c r="G28" s="48"/>
      <c r="H28" s="48"/>
      <c r="I28" s="37"/>
      <c r="J28" s="109"/>
      <c r="K28" s="43"/>
      <c r="L28" s="37"/>
      <c r="M28" s="37"/>
      <c r="N28" s="44"/>
      <c r="O28" s="42"/>
      <c r="P28" s="37"/>
      <c r="Q28" s="30"/>
    </row>
    <row r="29" spans="1:17" x14ac:dyDescent="0.25">
      <c r="A29" s="158"/>
      <c r="B29" s="159"/>
      <c r="C29" s="159"/>
      <c r="D29" s="30" t="s">
        <v>73</v>
      </c>
      <c r="E29" s="132" t="s">
        <v>80</v>
      </c>
      <c r="F29" s="48"/>
      <c r="G29" s="48"/>
      <c r="H29" s="48"/>
      <c r="I29" s="37"/>
      <c r="J29" s="109"/>
      <c r="K29" s="43"/>
      <c r="L29" s="37"/>
      <c r="M29" s="37"/>
      <c r="N29" s="44"/>
      <c r="O29" s="42"/>
      <c r="P29" s="37"/>
      <c r="Q29" s="30"/>
    </row>
    <row r="30" spans="1:17" ht="31.5" x14ac:dyDescent="0.25">
      <c r="A30" s="158"/>
      <c r="B30" s="159"/>
      <c r="C30" s="159"/>
      <c r="D30" s="30" t="s">
        <v>74</v>
      </c>
      <c r="E30" s="132" t="s">
        <v>81</v>
      </c>
      <c r="F30" s="48" t="s">
        <v>123</v>
      </c>
      <c r="G30" s="48"/>
      <c r="H30" s="48" t="s">
        <v>83</v>
      </c>
      <c r="I30" s="37">
        <v>2197.375</v>
      </c>
      <c r="J30" s="109">
        <v>2196.9839999999999</v>
      </c>
      <c r="K30" s="43">
        <v>1650.83</v>
      </c>
      <c r="L30" s="37">
        <v>0</v>
      </c>
      <c r="M30" s="37">
        <v>1650.83</v>
      </c>
      <c r="N30" s="44">
        <v>1650.83</v>
      </c>
      <c r="O30" s="42">
        <v>1650.83</v>
      </c>
      <c r="P30" s="37">
        <v>1650.83</v>
      </c>
      <c r="Q30" s="30"/>
    </row>
    <row r="31" spans="1:17" ht="31.5" x14ac:dyDescent="0.25">
      <c r="A31" s="158"/>
      <c r="B31" s="159"/>
      <c r="C31" s="159"/>
      <c r="D31" s="30" t="s">
        <v>75</v>
      </c>
      <c r="E31" s="132" t="s">
        <v>82</v>
      </c>
      <c r="F31" s="48"/>
      <c r="G31" s="48"/>
      <c r="H31" s="48"/>
      <c r="I31" s="37"/>
      <c r="J31" s="109"/>
      <c r="K31" s="43"/>
      <c r="L31" s="37"/>
      <c r="M31" s="37"/>
      <c r="N31" s="44"/>
      <c r="O31" s="42"/>
      <c r="P31" s="37"/>
      <c r="Q31" s="30"/>
    </row>
    <row r="32" spans="1:17" ht="47.25" x14ac:dyDescent="0.25">
      <c r="A32" s="158"/>
      <c r="B32" s="159"/>
      <c r="C32" s="159"/>
      <c r="D32" s="30" t="s">
        <v>76</v>
      </c>
      <c r="E32" s="132" t="s">
        <v>83</v>
      </c>
      <c r="F32" s="48"/>
      <c r="G32" s="48"/>
      <c r="H32" s="48"/>
      <c r="I32" s="37"/>
      <c r="J32" s="109"/>
      <c r="K32" s="43"/>
      <c r="L32" s="37"/>
      <c r="M32" s="37"/>
      <c r="N32" s="44"/>
      <c r="O32" s="42"/>
      <c r="P32" s="37"/>
      <c r="Q32" s="30"/>
    </row>
    <row r="33" spans="1:17" ht="31.5" x14ac:dyDescent="0.25">
      <c r="A33" s="158"/>
      <c r="B33" s="159"/>
      <c r="C33" s="159"/>
      <c r="D33" s="30" t="s">
        <v>77</v>
      </c>
      <c r="E33" s="132" t="s">
        <v>84</v>
      </c>
      <c r="F33" s="48"/>
      <c r="G33" s="48"/>
      <c r="H33" s="48"/>
      <c r="I33" s="37"/>
      <c r="J33" s="109"/>
      <c r="K33" s="43"/>
      <c r="L33" s="37"/>
      <c r="M33" s="37"/>
      <c r="N33" s="44"/>
      <c r="O33" s="42"/>
      <c r="P33" s="37"/>
      <c r="Q33" s="30"/>
    </row>
    <row r="34" spans="1:17" ht="31.5" x14ac:dyDescent="0.25">
      <c r="A34" s="158"/>
      <c r="B34" s="159"/>
      <c r="C34" s="159"/>
      <c r="D34" s="30" t="s">
        <v>78</v>
      </c>
      <c r="E34" s="132" t="s">
        <v>85</v>
      </c>
      <c r="F34" s="48" t="s">
        <v>123</v>
      </c>
      <c r="G34" s="48"/>
      <c r="H34" s="48" t="s">
        <v>127</v>
      </c>
      <c r="I34" s="37">
        <v>63497.9</v>
      </c>
      <c r="J34" s="109">
        <v>62482.26</v>
      </c>
      <c r="K34" s="43">
        <v>53315.545000000006</v>
      </c>
      <c r="L34" s="37">
        <v>14391.328999999998</v>
      </c>
      <c r="M34" s="37">
        <v>53148.445000000007</v>
      </c>
      <c r="N34" s="44">
        <v>50340.617850000002</v>
      </c>
      <c r="O34" s="42">
        <v>11238.755000000001</v>
      </c>
      <c r="P34" s="37">
        <v>11238.755000000001</v>
      </c>
      <c r="Q34" s="30"/>
    </row>
    <row r="35" spans="1:17" x14ac:dyDescent="0.25">
      <c r="A35" s="158">
        <v>3</v>
      </c>
      <c r="B35" s="159" t="s">
        <v>86</v>
      </c>
      <c r="C35" s="159" t="s">
        <v>119</v>
      </c>
      <c r="D35" s="110" t="s">
        <v>47</v>
      </c>
      <c r="E35" s="110"/>
      <c r="F35" s="110"/>
      <c r="G35" s="110"/>
      <c r="H35" s="110"/>
      <c r="I35" s="111">
        <f t="shared" ref="I35:P35" si="3">SUM(I37:I43)</f>
        <v>94721.1</v>
      </c>
      <c r="J35" s="112">
        <f t="shared" si="3"/>
        <v>94460.706969999999</v>
      </c>
      <c r="K35" s="113">
        <f t="shared" si="3"/>
        <v>108721.1</v>
      </c>
      <c r="L35" s="111">
        <f t="shared" si="3"/>
        <v>39199.954089999999</v>
      </c>
      <c r="M35" s="111">
        <f t="shared" si="3"/>
        <v>101926.77472</v>
      </c>
      <c r="N35" s="114">
        <f t="shared" si="3"/>
        <v>91047.031289999984</v>
      </c>
      <c r="O35" s="115">
        <f t="shared" si="3"/>
        <v>93721.1</v>
      </c>
      <c r="P35" s="111">
        <f t="shared" si="3"/>
        <v>93721.1</v>
      </c>
      <c r="Q35" s="35"/>
    </row>
    <row r="36" spans="1:17" x14ac:dyDescent="0.25">
      <c r="A36" s="158"/>
      <c r="B36" s="159"/>
      <c r="C36" s="159"/>
      <c r="D36" s="30" t="s">
        <v>46</v>
      </c>
      <c r="E36" s="30"/>
      <c r="F36" s="30"/>
      <c r="G36" s="30"/>
      <c r="H36" s="30"/>
      <c r="I36" s="37"/>
      <c r="J36" s="109"/>
      <c r="K36" s="43"/>
      <c r="L36" s="37"/>
      <c r="M36" s="37"/>
      <c r="N36" s="44"/>
      <c r="O36" s="42"/>
      <c r="P36" s="37"/>
      <c r="Q36" s="30"/>
    </row>
    <row r="37" spans="1:17" ht="31.5" customHeight="1" x14ac:dyDescent="0.25">
      <c r="A37" s="158"/>
      <c r="B37" s="159"/>
      <c r="C37" s="159"/>
      <c r="D37" s="30" t="s">
        <v>72</v>
      </c>
      <c r="E37" s="132" t="s">
        <v>79</v>
      </c>
      <c r="F37" s="48"/>
      <c r="G37" s="48"/>
      <c r="H37" s="48"/>
      <c r="I37" s="37"/>
      <c r="J37" s="109"/>
      <c r="K37" s="43"/>
      <c r="L37" s="37"/>
      <c r="M37" s="37"/>
      <c r="N37" s="44"/>
      <c r="O37" s="42"/>
      <c r="P37" s="37"/>
      <c r="Q37" s="30"/>
    </row>
    <row r="38" spans="1:17" ht="35.25" customHeight="1" x14ac:dyDescent="0.25">
      <c r="A38" s="158"/>
      <c r="B38" s="159"/>
      <c r="C38" s="159"/>
      <c r="D38" s="30" t="s">
        <v>73</v>
      </c>
      <c r="E38" s="132" t="s">
        <v>80</v>
      </c>
      <c r="F38" s="48" t="s">
        <v>125</v>
      </c>
      <c r="G38" s="48"/>
      <c r="H38" s="48" t="s">
        <v>126</v>
      </c>
      <c r="I38" s="37">
        <v>94721.1</v>
      </c>
      <c r="J38" s="109">
        <v>94460.706969999999</v>
      </c>
      <c r="K38" s="43">
        <v>108721.1</v>
      </c>
      <c r="L38" s="37">
        <v>39199.954089999999</v>
      </c>
      <c r="M38" s="37">
        <v>101926.77472</v>
      </c>
      <c r="N38" s="44">
        <v>91047.031289999984</v>
      </c>
      <c r="O38" s="42">
        <v>93721.1</v>
      </c>
      <c r="P38" s="37">
        <v>93721.1</v>
      </c>
      <c r="Q38" s="30"/>
    </row>
    <row r="39" spans="1:17" ht="31.5" customHeight="1" x14ac:dyDescent="0.25">
      <c r="A39" s="158"/>
      <c r="B39" s="159"/>
      <c r="C39" s="159"/>
      <c r="D39" s="30" t="s">
        <v>74</v>
      </c>
      <c r="E39" s="132" t="s">
        <v>81</v>
      </c>
      <c r="F39" s="48"/>
      <c r="G39" s="48"/>
      <c r="H39" s="48"/>
      <c r="I39" s="37"/>
      <c r="J39" s="109"/>
      <c r="K39" s="43"/>
      <c r="L39" s="37"/>
      <c r="M39" s="37"/>
      <c r="N39" s="44"/>
      <c r="O39" s="42"/>
      <c r="P39" s="37"/>
      <c r="Q39" s="30"/>
    </row>
    <row r="40" spans="1:17" ht="31.5" customHeight="1" x14ac:dyDescent="0.25">
      <c r="A40" s="158"/>
      <c r="B40" s="159"/>
      <c r="C40" s="159"/>
      <c r="D40" s="30" t="s">
        <v>75</v>
      </c>
      <c r="E40" s="132" t="s">
        <v>82</v>
      </c>
      <c r="F40" s="48"/>
      <c r="G40" s="48"/>
      <c r="H40" s="48"/>
      <c r="I40" s="37"/>
      <c r="J40" s="109"/>
      <c r="K40" s="43"/>
      <c r="L40" s="37"/>
      <c r="M40" s="37"/>
      <c r="N40" s="44"/>
      <c r="O40" s="42"/>
      <c r="P40" s="37"/>
      <c r="Q40" s="30"/>
    </row>
    <row r="41" spans="1:17" ht="47.25" customHeight="1" x14ac:dyDescent="0.25">
      <c r="A41" s="158"/>
      <c r="B41" s="159"/>
      <c r="C41" s="159"/>
      <c r="D41" s="30" t="s">
        <v>76</v>
      </c>
      <c r="E41" s="132" t="s">
        <v>83</v>
      </c>
      <c r="F41" s="48"/>
      <c r="G41" s="48"/>
      <c r="H41" s="48"/>
      <c r="I41" s="37"/>
      <c r="J41" s="109"/>
      <c r="K41" s="43"/>
      <c r="L41" s="37"/>
      <c r="M41" s="37"/>
      <c r="N41" s="44"/>
      <c r="O41" s="42"/>
      <c r="P41" s="37"/>
      <c r="Q41" s="30"/>
    </row>
    <row r="42" spans="1:17" ht="31.5" customHeight="1" x14ac:dyDescent="0.25">
      <c r="A42" s="158"/>
      <c r="B42" s="159"/>
      <c r="C42" s="159"/>
      <c r="D42" s="30" t="s">
        <v>77</v>
      </c>
      <c r="E42" s="132" t="s">
        <v>84</v>
      </c>
      <c r="F42" s="48"/>
      <c r="G42" s="48"/>
      <c r="H42" s="48"/>
      <c r="I42" s="37"/>
      <c r="J42" s="109"/>
      <c r="K42" s="43"/>
      <c r="L42" s="37"/>
      <c r="M42" s="37"/>
      <c r="N42" s="44"/>
      <c r="O42" s="42"/>
      <c r="P42" s="37"/>
      <c r="Q42" s="30"/>
    </row>
    <row r="43" spans="1:17" ht="31.5" customHeight="1" x14ac:dyDescent="0.25">
      <c r="A43" s="158"/>
      <c r="B43" s="159"/>
      <c r="C43" s="159"/>
      <c r="D43" s="30" t="s">
        <v>78</v>
      </c>
      <c r="E43" s="132" t="s">
        <v>85</v>
      </c>
      <c r="F43" s="48"/>
      <c r="G43" s="48"/>
      <c r="H43" s="48"/>
      <c r="I43" s="37"/>
      <c r="J43" s="109"/>
      <c r="K43" s="43"/>
      <c r="L43" s="37"/>
      <c r="M43" s="37"/>
      <c r="N43" s="44"/>
      <c r="O43" s="42"/>
      <c r="P43" s="37"/>
      <c r="Q43" s="30"/>
    </row>
    <row r="44" spans="1:17" x14ac:dyDescent="0.25">
      <c r="A44" s="158">
        <v>4</v>
      </c>
      <c r="B44" s="159" t="s">
        <v>117</v>
      </c>
      <c r="C44" s="159" t="s">
        <v>120</v>
      </c>
      <c r="D44" s="110" t="s">
        <v>47</v>
      </c>
      <c r="E44" s="110"/>
      <c r="F44" s="110"/>
      <c r="G44" s="110"/>
      <c r="H44" s="110"/>
      <c r="I44" s="111">
        <f t="shared" ref="I44:P44" si="4">SUM(I46:I52)</f>
        <v>558.12400000000002</v>
      </c>
      <c r="J44" s="112">
        <f t="shared" si="4"/>
        <v>463.12</v>
      </c>
      <c r="K44" s="113">
        <f t="shared" si="4"/>
        <v>226</v>
      </c>
      <c r="L44" s="111">
        <f t="shared" si="4"/>
        <v>0</v>
      </c>
      <c r="M44" s="111">
        <f t="shared" si="4"/>
        <v>226</v>
      </c>
      <c r="N44" s="114">
        <f t="shared" si="4"/>
        <v>152.5</v>
      </c>
      <c r="O44" s="115">
        <f t="shared" si="4"/>
        <v>0</v>
      </c>
      <c r="P44" s="111">
        <f t="shared" si="4"/>
        <v>0</v>
      </c>
      <c r="Q44" s="35"/>
    </row>
    <row r="45" spans="1:17" x14ac:dyDescent="0.25">
      <c r="A45" s="158"/>
      <c r="B45" s="159"/>
      <c r="C45" s="159"/>
      <c r="D45" s="30" t="s">
        <v>46</v>
      </c>
      <c r="E45" s="30"/>
      <c r="F45" s="30"/>
      <c r="G45" s="30"/>
      <c r="H45" s="30"/>
      <c r="I45" s="37"/>
      <c r="J45" s="109"/>
      <c r="K45" s="43"/>
      <c r="L45" s="37"/>
      <c r="M45" s="37"/>
      <c r="N45" s="44"/>
      <c r="O45" s="42"/>
      <c r="P45" s="37"/>
      <c r="Q45" s="30"/>
    </row>
    <row r="46" spans="1:17" ht="31.5" customHeight="1" x14ac:dyDescent="0.25">
      <c r="A46" s="158"/>
      <c r="B46" s="159"/>
      <c r="C46" s="159"/>
      <c r="D46" s="30" t="s">
        <v>72</v>
      </c>
      <c r="E46" s="132" t="s">
        <v>79</v>
      </c>
      <c r="F46" s="48"/>
      <c r="G46" s="48"/>
      <c r="H46" s="48"/>
      <c r="I46" s="37"/>
      <c r="J46" s="109"/>
      <c r="K46" s="43"/>
      <c r="L46" s="37"/>
      <c r="M46" s="37"/>
      <c r="N46" s="44"/>
      <c r="O46" s="42"/>
      <c r="P46" s="37"/>
      <c r="Q46" s="30"/>
    </row>
    <row r="47" spans="1:17" ht="15.75" customHeight="1" x14ac:dyDescent="0.25">
      <c r="A47" s="158"/>
      <c r="B47" s="159"/>
      <c r="C47" s="159"/>
      <c r="D47" s="30" t="s">
        <v>73</v>
      </c>
      <c r="E47" s="132" t="s">
        <v>80</v>
      </c>
      <c r="F47" s="48" t="s">
        <v>130</v>
      </c>
      <c r="G47" s="48"/>
      <c r="H47" s="48" t="s">
        <v>83</v>
      </c>
      <c r="I47" s="37">
        <v>320</v>
      </c>
      <c r="J47" s="109">
        <v>320</v>
      </c>
      <c r="K47" s="43"/>
      <c r="L47" s="37"/>
      <c r="M47" s="37"/>
      <c r="N47" s="44"/>
      <c r="O47" s="42"/>
      <c r="P47" s="37"/>
      <c r="Q47" s="30"/>
    </row>
    <row r="48" spans="1:17" ht="31.5" customHeight="1" x14ac:dyDescent="0.25">
      <c r="A48" s="158"/>
      <c r="B48" s="159"/>
      <c r="C48" s="159"/>
      <c r="D48" s="30" t="s">
        <v>74</v>
      </c>
      <c r="E48" s="132" t="s">
        <v>81</v>
      </c>
      <c r="F48" s="48"/>
      <c r="G48" s="48"/>
      <c r="H48" s="48"/>
      <c r="I48" s="37"/>
      <c r="J48" s="109"/>
      <c r="K48" s="43"/>
      <c r="L48" s="37"/>
      <c r="M48" s="37"/>
      <c r="N48" s="44"/>
      <c r="O48" s="42"/>
      <c r="P48" s="37"/>
      <c r="Q48" s="30"/>
    </row>
    <row r="49" spans="1:17" ht="31.5" customHeight="1" x14ac:dyDescent="0.25">
      <c r="A49" s="158"/>
      <c r="B49" s="159"/>
      <c r="C49" s="159"/>
      <c r="D49" s="30" t="s">
        <v>75</v>
      </c>
      <c r="E49" s="132" t="s">
        <v>82</v>
      </c>
      <c r="F49" s="48" t="s">
        <v>122</v>
      </c>
      <c r="G49" s="48"/>
      <c r="H49" s="48" t="s">
        <v>83</v>
      </c>
      <c r="I49" s="37">
        <v>5.3239999999999998</v>
      </c>
      <c r="J49" s="109">
        <v>5.3239999999999998</v>
      </c>
      <c r="K49" s="43">
        <v>5.5</v>
      </c>
      <c r="L49" s="37">
        <v>0</v>
      </c>
      <c r="M49" s="37">
        <v>5.5</v>
      </c>
      <c r="N49" s="44">
        <v>5.5</v>
      </c>
      <c r="O49" s="42">
        <v>0</v>
      </c>
      <c r="P49" s="37">
        <v>0</v>
      </c>
      <c r="Q49" s="30"/>
    </row>
    <row r="50" spans="1:17" ht="47.25" customHeight="1" x14ac:dyDescent="0.25">
      <c r="A50" s="158"/>
      <c r="B50" s="159"/>
      <c r="C50" s="159"/>
      <c r="D50" s="30" t="s">
        <v>76</v>
      </c>
      <c r="E50" s="132" t="s">
        <v>83</v>
      </c>
      <c r="F50" s="48"/>
      <c r="G50" s="48"/>
      <c r="H50" s="48"/>
      <c r="I50" s="37"/>
      <c r="J50" s="109"/>
      <c r="K50" s="43"/>
      <c r="L50" s="37"/>
      <c r="M50" s="37"/>
      <c r="N50" s="44"/>
      <c r="O50" s="42"/>
      <c r="P50" s="37"/>
      <c r="Q50" s="30"/>
    </row>
    <row r="51" spans="1:17" ht="31.5" customHeight="1" x14ac:dyDescent="0.25">
      <c r="A51" s="158"/>
      <c r="B51" s="159"/>
      <c r="C51" s="159"/>
      <c r="D51" s="30" t="s">
        <v>77</v>
      </c>
      <c r="E51" s="132" t="s">
        <v>84</v>
      </c>
      <c r="F51" s="48"/>
      <c r="G51" s="48"/>
      <c r="H51" s="48"/>
      <c r="I51" s="37"/>
      <c r="J51" s="109"/>
      <c r="K51" s="43"/>
      <c r="L51" s="37"/>
      <c r="M51" s="37"/>
      <c r="N51" s="44"/>
      <c r="O51" s="42"/>
      <c r="P51" s="37"/>
      <c r="Q51" s="30"/>
    </row>
    <row r="52" spans="1:17" ht="31.5" customHeight="1" x14ac:dyDescent="0.25">
      <c r="A52" s="158"/>
      <c r="B52" s="159"/>
      <c r="C52" s="159"/>
      <c r="D52" s="30" t="s">
        <v>78</v>
      </c>
      <c r="E52" s="132" t="s">
        <v>85</v>
      </c>
      <c r="F52" s="48" t="s">
        <v>123</v>
      </c>
      <c r="G52" s="48"/>
      <c r="H52" s="48" t="s">
        <v>124</v>
      </c>
      <c r="I52" s="37">
        <v>232.8</v>
      </c>
      <c r="J52" s="109">
        <v>137.79599999999999</v>
      </c>
      <c r="K52" s="43">
        <v>220.5</v>
      </c>
      <c r="L52" s="37">
        <v>0</v>
      </c>
      <c r="M52" s="37">
        <v>220.5</v>
      </c>
      <c r="N52" s="44">
        <v>147</v>
      </c>
      <c r="O52" s="42">
        <v>0</v>
      </c>
      <c r="P52" s="37">
        <v>0</v>
      </c>
      <c r="Q52" s="30"/>
    </row>
    <row r="53" spans="1:17" x14ac:dyDescent="0.25">
      <c r="A53" s="158">
        <v>5</v>
      </c>
      <c r="B53" s="159" t="s">
        <v>118</v>
      </c>
      <c r="C53" s="159" t="s">
        <v>121</v>
      </c>
      <c r="D53" s="110" t="s">
        <v>47</v>
      </c>
      <c r="E53" s="110"/>
      <c r="F53" s="110"/>
      <c r="G53" s="110"/>
      <c r="H53" s="110"/>
      <c r="I53" s="111">
        <f t="shared" ref="I53:P53" si="5">SUM(I55:I61)</f>
        <v>10600</v>
      </c>
      <c r="J53" s="112">
        <f t="shared" si="5"/>
        <v>9390.4</v>
      </c>
      <c r="K53" s="113">
        <f t="shared" si="5"/>
        <v>10600</v>
      </c>
      <c r="L53" s="111">
        <f t="shared" si="5"/>
        <v>0</v>
      </c>
      <c r="M53" s="111">
        <f t="shared" si="5"/>
        <v>12362.716</v>
      </c>
      <c r="N53" s="114">
        <f t="shared" si="5"/>
        <v>12264.716</v>
      </c>
      <c r="O53" s="115">
        <f t="shared" si="5"/>
        <v>10600</v>
      </c>
      <c r="P53" s="111">
        <f t="shared" si="5"/>
        <v>10600</v>
      </c>
      <c r="Q53" s="35"/>
    </row>
    <row r="54" spans="1:17" x14ac:dyDescent="0.25">
      <c r="A54" s="158"/>
      <c r="B54" s="159"/>
      <c r="C54" s="159"/>
      <c r="D54" s="30" t="s">
        <v>46</v>
      </c>
      <c r="E54" s="30"/>
      <c r="F54" s="30"/>
      <c r="G54" s="30"/>
      <c r="H54" s="30"/>
      <c r="I54" s="37"/>
      <c r="J54" s="109"/>
      <c r="K54" s="43"/>
      <c r="L54" s="37"/>
      <c r="M54" s="37"/>
      <c r="N54" s="44"/>
      <c r="O54" s="42"/>
      <c r="P54" s="37"/>
      <c r="Q54" s="30"/>
    </row>
    <row r="55" spans="1:17" ht="31.5" customHeight="1" x14ac:dyDescent="0.25">
      <c r="A55" s="158"/>
      <c r="B55" s="159"/>
      <c r="C55" s="159"/>
      <c r="D55" s="30" t="s">
        <v>72</v>
      </c>
      <c r="E55" s="132" t="s">
        <v>79</v>
      </c>
      <c r="F55" s="30"/>
      <c r="G55" s="30"/>
      <c r="H55" s="30"/>
      <c r="I55" s="37"/>
      <c r="J55" s="109"/>
      <c r="K55" s="43"/>
      <c r="L55" s="37"/>
      <c r="M55" s="37"/>
      <c r="N55" s="44"/>
      <c r="O55" s="42"/>
      <c r="P55" s="37"/>
      <c r="Q55" s="30"/>
    </row>
    <row r="56" spans="1:17" ht="15.75" customHeight="1" x14ac:dyDescent="0.25">
      <c r="A56" s="158"/>
      <c r="B56" s="159"/>
      <c r="C56" s="159"/>
      <c r="D56" s="30" t="s">
        <v>73</v>
      </c>
      <c r="E56" s="132" t="s">
        <v>80</v>
      </c>
      <c r="F56" s="48" t="s">
        <v>128</v>
      </c>
      <c r="G56" s="48"/>
      <c r="H56" s="48" t="s">
        <v>83</v>
      </c>
      <c r="I56" s="37">
        <v>10600</v>
      </c>
      <c r="J56" s="109">
        <v>9390.4</v>
      </c>
      <c r="K56" s="43">
        <v>10600</v>
      </c>
      <c r="L56" s="37">
        <v>0</v>
      </c>
      <c r="M56" s="37">
        <v>10000</v>
      </c>
      <c r="N56" s="44">
        <v>10000</v>
      </c>
      <c r="O56" s="42">
        <v>10600</v>
      </c>
      <c r="P56" s="37">
        <v>10600</v>
      </c>
      <c r="Q56" s="30"/>
    </row>
    <row r="57" spans="1:17" ht="31.5" customHeight="1" x14ac:dyDescent="0.25">
      <c r="A57" s="158"/>
      <c r="B57" s="159"/>
      <c r="C57" s="159"/>
      <c r="D57" s="30" t="s">
        <v>74</v>
      </c>
      <c r="E57" s="132" t="s">
        <v>81</v>
      </c>
      <c r="F57" s="48" t="s">
        <v>129</v>
      </c>
      <c r="G57" s="48"/>
      <c r="H57" s="48" t="s">
        <v>83</v>
      </c>
      <c r="I57" s="37"/>
      <c r="J57" s="109"/>
      <c r="K57" s="43"/>
      <c r="L57" s="37"/>
      <c r="M57" s="37">
        <v>2362.7159999999999</v>
      </c>
      <c r="N57" s="44">
        <v>2264.7159999999999</v>
      </c>
      <c r="O57" s="42"/>
      <c r="P57" s="37"/>
      <c r="Q57" s="30"/>
    </row>
    <row r="58" spans="1:17" ht="31.5" customHeight="1" x14ac:dyDescent="0.25">
      <c r="A58" s="158"/>
      <c r="B58" s="159"/>
      <c r="C58" s="159"/>
      <c r="D58" s="30" t="s">
        <v>75</v>
      </c>
      <c r="E58" s="132" t="s">
        <v>82</v>
      </c>
      <c r="F58" s="30"/>
      <c r="G58" s="30"/>
      <c r="H58" s="30"/>
      <c r="I58" s="37"/>
      <c r="J58" s="109"/>
      <c r="K58" s="43"/>
      <c r="L58" s="37"/>
      <c r="M58" s="37"/>
      <c r="N58" s="44"/>
      <c r="O58" s="42"/>
      <c r="P58" s="37"/>
      <c r="Q58" s="30"/>
    </row>
    <row r="59" spans="1:17" ht="47.25" customHeight="1" x14ac:dyDescent="0.25">
      <c r="A59" s="158"/>
      <c r="B59" s="159"/>
      <c r="C59" s="159"/>
      <c r="D59" s="30" t="s">
        <v>76</v>
      </c>
      <c r="E59" s="132" t="s">
        <v>83</v>
      </c>
      <c r="F59" s="30"/>
      <c r="G59" s="30"/>
      <c r="H59" s="30"/>
      <c r="I59" s="37"/>
      <c r="J59" s="109"/>
      <c r="K59" s="43"/>
      <c r="L59" s="37"/>
      <c r="M59" s="37"/>
      <c r="N59" s="44"/>
      <c r="O59" s="42"/>
      <c r="P59" s="37"/>
      <c r="Q59" s="30"/>
    </row>
    <row r="60" spans="1:17" ht="31.5" customHeight="1" x14ac:dyDescent="0.25">
      <c r="A60" s="158"/>
      <c r="B60" s="159"/>
      <c r="C60" s="159"/>
      <c r="D60" s="30" t="s">
        <v>77</v>
      </c>
      <c r="E60" s="132" t="s">
        <v>84</v>
      </c>
      <c r="F60" s="30"/>
      <c r="G60" s="30"/>
      <c r="H60" s="30"/>
      <c r="I60" s="37"/>
      <c r="J60" s="109"/>
      <c r="K60" s="43"/>
      <c r="L60" s="37"/>
      <c r="M60" s="37"/>
      <c r="N60" s="44"/>
      <c r="O60" s="42"/>
      <c r="P60" s="37"/>
      <c r="Q60" s="30"/>
    </row>
    <row r="61" spans="1:17" ht="31.5" customHeight="1" thickBot="1" x14ac:dyDescent="0.3">
      <c r="A61" s="158"/>
      <c r="B61" s="159"/>
      <c r="C61" s="159"/>
      <c r="D61" s="30" t="s">
        <v>78</v>
      </c>
      <c r="E61" s="132" t="s">
        <v>85</v>
      </c>
      <c r="F61" s="30"/>
      <c r="G61" s="30"/>
      <c r="H61" s="30"/>
      <c r="I61" s="37"/>
      <c r="J61" s="109"/>
      <c r="K61" s="45"/>
      <c r="L61" s="46"/>
      <c r="M61" s="46"/>
      <c r="N61" s="47"/>
      <c r="O61" s="42"/>
      <c r="P61" s="37"/>
      <c r="Q61" s="30"/>
    </row>
    <row r="62" spans="1:17" ht="18.75" x14ac:dyDescent="0.25">
      <c r="A62" s="28"/>
    </row>
    <row r="63" spans="1:17" ht="18.75" x14ac:dyDescent="0.25">
      <c r="A63" s="28"/>
    </row>
    <row r="64" spans="1:17" ht="77.25" customHeight="1" x14ac:dyDescent="0.3">
      <c r="A64" s="182" t="str">
        <f>'1'!A31:B31</f>
        <v>Руководитель управления экономики, 
планирования и перспективного развития 
администрации Туруханского района</v>
      </c>
      <c r="B64" s="152"/>
      <c r="C64" s="152"/>
      <c r="D64" s="152"/>
      <c r="E64" s="152"/>
      <c r="F64" s="152"/>
      <c r="G64" s="152"/>
      <c r="H64" s="152"/>
      <c r="I64" s="152"/>
      <c r="J64" s="152"/>
      <c r="L64" s="183" t="str">
        <f>'1'!G31</f>
        <v>Е. М. Нагорная</v>
      </c>
    </row>
    <row r="65" spans="1:1" ht="18.75" x14ac:dyDescent="0.25">
      <c r="A65" s="28"/>
    </row>
    <row r="66" spans="1:1" ht="18.75" x14ac:dyDescent="0.25">
      <c r="A66" s="28"/>
    </row>
    <row r="82" spans="1:1" x14ac:dyDescent="0.25">
      <c r="A82" s="185" t="str">
        <f>'1'!$A$36</f>
        <v>Моховикова Наталья Леонидовна</v>
      </c>
    </row>
    <row r="83" spans="1:1" x14ac:dyDescent="0.25">
      <c r="A83" s="185" t="str">
        <f>'1'!$A$37</f>
        <v>(39190) 44580</v>
      </c>
    </row>
  </sheetData>
  <mergeCells count="39">
    <mergeCell ref="A9:Q9"/>
    <mergeCell ref="A7:Q7"/>
    <mergeCell ref="A4:Q4"/>
    <mergeCell ref="A5:Q5"/>
    <mergeCell ref="A6:Q6"/>
    <mergeCell ref="A8:Q8"/>
    <mergeCell ref="A10:Q10"/>
    <mergeCell ref="A64:J64"/>
    <mergeCell ref="Q12:Q15"/>
    <mergeCell ref="I13:J14"/>
    <mergeCell ref="K13:N13"/>
    <mergeCell ref="O13:P14"/>
    <mergeCell ref="E14:E15"/>
    <mergeCell ref="F14:F15"/>
    <mergeCell ref="G14:G15"/>
    <mergeCell ref="H14:H15"/>
    <mergeCell ref="K14:L14"/>
    <mergeCell ref="M14:N14"/>
    <mergeCell ref="I12:P12"/>
    <mergeCell ref="A12:A15"/>
    <mergeCell ref="B12:B15"/>
    <mergeCell ref="C12:C15"/>
    <mergeCell ref="D12:D15"/>
    <mergeCell ref="E12:H13"/>
    <mergeCell ref="A17:A25"/>
    <mergeCell ref="B17:B25"/>
    <mergeCell ref="C17:C25"/>
    <mergeCell ref="A26:A34"/>
    <mergeCell ref="B26:B34"/>
    <mergeCell ref="C26:C34"/>
    <mergeCell ref="A35:A43"/>
    <mergeCell ref="B44:B52"/>
    <mergeCell ref="C44:C52"/>
    <mergeCell ref="A53:A61"/>
    <mergeCell ref="B53:B61"/>
    <mergeCell ref="C53:C61"/>
    <mergeCell ref="B35:B43"/>
    <mergeCell ref="C35:C43"/>
    <mergeCell ref="A44:A52"/>
  </mergeCells>
  <pageMargins left="0.78740157480314965" right="0.78740157480314965" top="1.1811023622047245" bottom="0.67" header="0.31496062992125984" footer="0.31496062992125984"/>
  <pageSetup paperSize="9" scale="4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9"/>
  <sheetViews>
    <sheetView view="pageBreakPreview" topLeftCell="A12" zoomScale="60" zoomScaleNormal="115" workbookViewId="0">
      <selection activeCell="I16" sqref="I16"/>
    </sheetView>
  </sheetViews>
  <sheetFormatPr defaultRowHeight="15.75" x14ac:dyDescent="0.25"/>
  <cols>
    <col min="1" max="1" width="4.7109375" style="27" customWidth="1"/>
    <col min="2" max="2" width="16.85546875" style="27" customWidth="1"/>
    <col min="3" max="3" width="17.140625" style="27" customWidth="1"/>
    <col min="4" max="4" width="37" style="27" customWidth="1"/>
    <col min="5" max="12" width="15.85546875" style="27" customWidth="1"/>
    <col min="13" max="13" width="14.85546875" style="27" customWidth="1"/>
    <col min="14" max="16384" width="9.140625" style="27"/>
  </cols>
  <sheetData>
    <row r="1" spans="1:13" ht="18.75" x14ac:dyDescent="0.25">
      <c r="J1" s="32"/>
      <c r="L1" s="102" t="s">
        <v>174</v>
      </c>
    </row>
    <row r="2" spans="1:13" ht="18.75" x14ac:dyDescent="0.25">
      <c r="A2" s="31"/>
    </row>
    <row r="3" spans="1:13" ht="18.75" x14ac:dyDescent="0.25">
      <c r="A3" s="28"/>
    </row>
    <row r="4" spans="1:13" ht="18.75" x14ac:dyDescent="0.25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18.75" x14ac:dyDescent="0.25">
      <c r="A5" s="150" t="s">
        <v>71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18.75" x14ac:dyDescent="0.25">
      <c r="A6" s="150" t="s">
        <v>180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ht="22.5" x14ac:dyDescent="0.25">
      <c r="A7" s="167" t="s">
        <v>61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3" ht="18.75" x14ac:dyDescent="0.25">
      <c r="A8" s="150" t="s">
        <v>70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 ht="18.75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ht="19.5" thickBot="1" x14ac:dyDescent="0.3">
      <c r="M10" s="31" t="s">
        <v>69</v>
      </c>
    </row>
    <row r="11" spans="1:13" x14ac:dyDescent="0.25">
      <c r="A11" s="151" t="s">
        <v>41</v>
      </c>
      <c r="B11" s="151" t="s">
        <v>68</v>
      </c>
      <c r="C11" s="151" t="s">
        <v>57</v>
      </c>
      <c r="D11" s="151" t="s">
        <v>67</v>
      </c>
      <c r="E11" s="151">
        <f>'2'!E10</f>
        <v>2016</v>
      </c>
      <c r="F11" s="160"/>
      <c r="G11" s="161">
        <f>'2'!G10:J10</f>
        <v>2017</v>
      </c>
      <c r="H11" s="162"/>
      <c r="I11" s="162"/>
      <c r="J11" s="163"/>
      <c r="K11" s="164" t="s">
        <v>37</v>
      </c>
      <c r="L11" s="151"/>
      <c r="M11" s="151" t="s">
        <v>54</v>
      </c>
    </row>
    <row r="12" spans="1:13" x14ac:dyDescent="0.25">
      <c r="A12" s="151"/>
      <c r="B12" s="151"/>
      <c r="C12" s="151"/>
      <c r="D12" s="151"/>
      <c r="E12" s="151"/>
      <c r="F12" s="160"/>
      <c r="G12" s="165" t="s">
        <v>35</v>
      </c>
      <c r="H12" s="151"/>
      <c r="I12" s="151" t="s">
        <v>34</v>
      </c>
      <c r="J12" s="166"/>
      <c r="K12" s="164"/>
      <c r="L12" s="151"/>
      <c r="M12" s="151"/>
    </row>
    <row r="13" spans="1:13" x14ac:dyDescent="0.25">
      <c r="A13" s="151"/>
      <c r="B13" s="151"/>
      <c r="C13" s="151"/>
      <c r="D13" s="151"/>
      <c r="E13" s="132" t="s">
        <v>10</v>
      </c>
      <c r="F13" s="134" t="s">
        <v>11</v>
      </c>
      <c r="G13" s="136" t="s">
        <v>10</v>
      </c>
      <c r="H13" s="132" t="s">
        <v>11</v>
      </c>
      <c r="I13" s="132" t="s">
        <v>10</v>
      </c>
      <c r="J13" s="137" t="s">
        <v>11</v>
      </c>
      <c r="K13" s="135">
        <f>'2'!K12</f>
        <v>2018</v>
      </c>
      <c r="L13" s="132">
        <f>'2'!L12</f>
        <v>2019</v>
      </c>
      <c r="M13" s="151"/>
    </row>
    <row r="14" spans="1:13" x14ac:dyDescent="0.25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4">
        <v>6</v>
      </c>
      <c r="G14" s="136">
        <v>7</v>
      </c>
      <c r="H14" s="132">
        <v>8</v>
      </c>
      <c r="I14" s="132">
        <v>9</v>
      </c>
      <c r="J14" s="137">
        <v>10</v>
      </c>
      <c r="K14" s="135">
        <v>11</v>
      </c>
      <c r="L14" s="132">
        <v>12</v>
      </c>
      <c r="M14" s="132">
        <v>13</v>
      </c>
    </row>
    <row r="15" spans="1:13" ht="18.75" customHeight="1" x14ac:dyDescent="0.25">
      <c r="A15" s="168">
        <v>1</v>
      </c>
      <c r="B15" s="169" t="s">
        <v>48</v>
      </c>
      <c r="C15" s="169" t="str">
        <f>'3'!C17</f>
        <v>Развитие транспортной системы и связи Туруханского района</v>
      </c>
      <c r="D15" s="103" t="s">
        <v>66</v>
      </c>
      <c r="E15" s="104">
        <f>SUM(E17:E21)</f>
        <v>171574.49900000001</v>
      </c>
      <c r="F15" s="105">
        <f t="shared" ref="F15:L15" si="0">SUM(F17:F21)</f>
        <v>168993.47096999999</v>
      </c>
      <c r="G15" s="106">
        <f t="shared" si="0"/>
        <v>174513.47500000001</v>
      </c>
      <c r="H15" s="104">
        <f t="shared" si="0"/>
        <v>53591.283089999997</v>
      </c>
      <c r="I15" s="104">
        <f t="shared" si="0"/>
        <v>169314.76572000002</v>
      </c>
      <c r="J15" s="107">
        <f t="shared" si="0"/>
        <v>155455.69513999997</v>
      </c>
      <c r="K15" s="108">
        <f t="shared" si="0"/>
        <v>117210.68500000001</v>
      </c>
      <c r="L15" s="104">
        <f t="shared" si="0"/>
        <v>117210.68500000001</v>
      </c>
      <c r="M15" s="103"/>
    </row>
    <row r="16" spans="1:13" ht="18.75" customHeight="1" x14ac:dyDescent="0.25">
      <c r="A16" s="168"/>
      <c r="B16" s="169"/>
      <c r="C16" s="169"/>
      <c r="D16" s="30" t="s">
        <v>65</v>
      </c>
      <c r="E16" s="37"/>
      <c r="F16" s="109"/>
      <c r="G16" s="43"/>
      <c r="H16" s="37"/>
      <c r="I16" s="37"/>
      <c r="J16" s="44"/>
      <c r="K16" s="42"/>
      <c r="L16" s="37"/>
      <c r="M16" s="30"/>
    </row>
    <row r="17" spans="1:13" ht="18.75" customHeight="1" x14ac:dyDescent="0.25">
      <c r="A17" s="168"/>
      <c r="B17" s="169"/>
      <c r="C17" s="169"/>
      <c r="D17" s="34" t="s">
        <v>87</v>
      </c>
      <c r="E17" s="37">
        <f t="shared" ref="E17:L21" si="1">SUMIF($D$22:$D$49,$D17,E$22:E$49)</f>
        <v>0</v>
      </c>
      <c r="F17" s="109">
        <f t="shared" si="1"/>
        <v>0</v>
      </c>
      <c r="G17" s="43">
        <f t="shared" si="1"/>
        <v>0</v>
      </c>
      <c r="H17" s="37">
        <f t="shared" si="1"/>
        <v>0</v>
      </c>
      <c r="I17" s="37">
        <f t="shared" si="1"/>
        <v>0</v>
      </c>
      <c r="J17" s="44">
        <f t="shared" si="1"/>
        <v>0</v>
      </c>
      <c r="K17" s="42">
        <f t="shared" si="1"/>
        <v>0</v>
      </c>
      <c r="L17" s="37">
        <f t="shared" si="1"/>
        <v>0</v>
      </c>
      <c r="M17" s="30"/>
    </row>
    <row r="18" spans="1:13" ht="18.75" customHeight="1" x14ac:dyDescent="0.25">
      <c r="A18" s="168"/>
      <c r="B18" s="169"/>
      <c r="C18" s="169"/>
      <c r="D18" s="30" t="s">
        <v>88</v>
      </c>
      <c r="E18" s="37">
        <f t="shared" si="1"/>
        <v>56896.784999999996</v>
      </c>
      <c r="F18" s="109">
        <f t="shared" si="1"/>
        <v>55791.640999999996</v>
      </c>
      <c r="G18" s="43">
        <f t="shared" si="1"/>
        <v>48633.600000000006</v>
      </c>
      <c r="H18" s="37">
        <f t="shared" si="1"/>
        <v>12455.477999999999</v>
      </c>
      <c r="I18" s="37">
        <f t="shared" si="1"/>
        <v>50991.600000000006</v>
      </c>
      <c r="J18" s="44">
        <f t="shared" si="1"/>
        <v>50192.994449999998</v>
      </c>
      <c r="K18" s="42">
        <f t="shared" si="1"/>
        <v>5000</v>
      </c>
      <c r="L18" s="37">
        <f t="shared" si="1"/>
        <v>5000</v>
      </c>
      <c r="M18" s="30"/>
    </row>
    <row r="19" spans="1:13" ht="18.75" customHeight="1" x14ac:dyDescent="0.25">
      <c r="A19" s="168"/>
      <c r="B19" s="169"/>
      <c r="C19" s="169"/>
      <c r="D19" s="30" t="s">
        <v>64</v>
      </c>
      <c r="E19" s="37">
        <f t="shared" si="1"/>
        <v>114477.71400000001</v>
      </c>
      <c r="F19" s="109">
        <f t="shared" si="1"/>
        <v>113001.82996999999</v>
      </c>
      <c r="G19" s="43">
        <f t="shared" si="1"/>
        <v>125879.875</v>
      </c>
      <c r="H19" s="37">
        <f t="shared" si="1"/>
        <v>41135.805090000002</v>
      </c>
      <c r="I19" s="37">
        <f t="shared" si="1"/>
        <v>118323.16572</v>
      </c>
      <c r="J19" s="44">
        <f t="shared" si="1"/>
        <v>105262.70068999998</v>
      </c>
      <c r="K19" s="42">
        <f t="shared" si="1"/>
        <v>112210.68500000001</v>
      </c>
      <c r="L19" s="37">
        <f t="shared" si="1"/>
        <v>112210.68500000001</v>
      </c>
      <c r="M19" s="30"/>
    </row>
    <row r="20" spans="1:13" ht="31.5" x14ac:dyDescent="0.25">
      <c r="A20" s="168"/>
      <c r="B20" s="169"/>
      <c r="C20" s="169"/>
      <c r="D20" s="33" t="s">
        <v>89</v>
      </c>
      <c r="E20" s="37">
        <f t="shared" si="1"/>
        <v>0</v>
      </c>
      <c r="F20" s="109">
        <f t="shared" si="1"/>
        <v>0</v>
      </c>
      <c r="G20" s="43">
        <f t="shared" si="1"/>
        <v>0</v>
      </c>
      <c r="H20" s="37">
        <f t="shared" si="1"/>
        <v>0</v>
      </c>
      <c r="I20" s="37">
        <f t="shared" si="1"/>
        <v>0</v>
      </c>
      <c r="J20" s="44">
        <f t="shared" si="1"/>
        <v>0</v>
      </c>
      <c r="K20" s="42">
        <f t="shared" si="1"/>
        <v>0</v>
      </c>
      <c r="L20" s="37">
        <f t="shared" si="1"/>
        <v>0</v>
      </c>
      <c r="M20" s="30"/>
    </row>
    <row r="21" spans="1:13" ht="18.75" customHeight="1" x14ac:dyDescent="0.25">
      <c r="A21" s="168"/>
      <c r="B21" s="169"/>
      <c r="C21" s="169"/>
      <c r="D21" s="30" t="s">
        <v>63</v>
      </c>
      <c r="E21" s="37">
        <f t="shared" si="1"/>
        <v>200</v>
      </c>
      <c r="F21" s="109">
        <f t="shared" si="1"/>
        <v>200</v>
      </c>
      <c r="G21" s="43">
        <f t="shared" si="1"/>
        <v>0</v>
      </c>
      <c r="H21" s="37">
        <f t="shared" si="1"/>
        <v>0</v>
      </c>
      <c r="I21" s="37">
        <f t="shared" si="1"/>
        <v>0</v>
      </c>
      <c r="J21" s="44">
        <f t="shared" si="1"/>
        <v>0</v>
      </c>
      <c r="K21" s="42">
        <f t="shared" si="1"/>
        <v>0</v>
      </c>
      <c r="L21" s="37">
        <f t="shared" si="1"/>
        <v>0</v>
      </c>
      <c r="M21" s="30"/>
    </row>
    <row r="22" spans="1:13" ht="18.75" customHeight="1" x14ac:dyDescent="0.25">
      <c r="A22" s="168">
        <v>2</v>
      </c>
      <c r="B22" s="169" t="s">
        <v>7</v>
      </c>
      <c r="C22" s="169" t="str">
        <f>'3'!C26</f>
        <v>Развитие транспортного комплекса, обеспечение сохранности и модернизации автомобильных дорог Туруханского района</v>
      </c>
      <c r="D22" s="35" t="s">
        <v>66</v>
      </c>
      <c r="E22" s="116">
        <f>SUM(E24:E28)</f>
        <v>65695.274999999994</v>
      </c>
      <c r="F22" s="117">
        <f t="shared" ref="F22:L22" si="2">SUM(F24:F28)</f>
        <v>64679.243999999999</v>
      </c>
      <c r="G22" s="118">
        <f t="shared" si="2"/>
        <v>54966.375000000007</v>
      </c>
      <c r="H22" s="116">
        <f t="shared" si="2"/>
        <v>14391.329</v>
      </c>
      <c r="I22" s="116">
        <f t="shared" si="2"/>
        <v>54799.275000000009</v>
      </c>
      <c r="J22" s="119">
        <f t="shared" si="2"/>
        <v>51991.447849999997</v>
      </c>
      <c r="K22" s="120">
        <f t="shared" si="2"/>
        <v>12889.584999999999</v>
      </c>
      <c r="L22" s="116">
        <f t="shared" si="2"/>
        <v>12889.584999999999</v>
      </c>
      <c r="M22" s="35"/>
    </row>
    <row r="23" spans="1:13" ht="18.75" customHeight="1" x14ac:dyDescent="0.25">
      <c r="A23" s="168"/>
      <c r="B23" s="169"/>
      <c r="C23" s="169"/>
      <c r="D23" s="30" t="s">
        <v>65</v>
      </c>
      <c r="E23" s="37"/>
      <c r="F23" s="109"/>
      <c r="G23" s="43"/>
      <c r="H23" s="37"/>
      <c r="I23" s="37"/>
      <c r="J23" s="44"/>
      <c r="K23" s="42"/>
      <c r="L23" s="37"/>
      <c r="M23" s="30"/>
    </row>
    <row r="24" spans="1:13" ht="18.75" customHeight="1" x14ac:dyDescent="0.25">
      <c r="A24" s="168"/>
      <c r="B24" s="169"/>
      <c r="C24" s="169"/>
      <c r="D24" s="34" t="s">
        <v>87</v>
      </c>
      <c r="E24" s="37"/>
      <c r="F24" s="109"/>
      <c r="G24" s="43"/>
      <c r="H24" s="37"/>
      <c r="I24" s="37"/>
      <c r="J24" s="44"/>
      <c r="K24" s="42"/>
      <c r="L24" s="37"/>
      <c r="M24" s="30"/>
    </row>
    <row r="25" spans="1:13" ht="18.75" customHeight="1" x14ac:dyDescent="0.25">
      <c r="A25" s="168"/>
      <c r="B25" s="169"/>
      <c r="C25" s="169"/>
      <c r="D25" s="30" t="s">
        <v>88</v>
      </c>
      <c r="E25" s="37">
        <v>56659.144999999997</v>
      </c>
      <c r="F25" s="109">
        <v>55649.004999999997</v>
      </c>
      <c r="G25" s="43">
        <v>48408.100000000006</v>
      </c>
      <c r="H25" s="37">
        <v>12455.477999999999</v>
      </c>
      <c r="I25" s="37">
        <v>48408.100000000006</v>
      </c>
      <c r="J25" s="44">
        <v>47780.994449999998</v>
      </c>
      <c r="K25" s="42">
        <v>5000</v>
      </c>
      <c r="L25" s="37">
        <v>5000</v>
      </c>
      <c r="M25" s="30"/>
    </row>
    <row r="26" spans="1:13" ht="18.75" customHeight="1" x14ac:dyDescent="0.25">
      <c r="A26" s="168"/>
      <c r="B26" s="169"/>
      <c r="C26" s="169"/>
      <c r="D26" s="30" t="s">
        <v>64</v>
      </c>
      <c r="E26" s="37">
        <v>8836.1299999999992</v>
      </c>
      <c r="F26" s="109">
        <v>8830.2389999999996</v>
      </c>
      <c r="G26" s="43">
        <v>6558.2749999999996</v>
      </c>
      <c r="H26" s="37">
        <v>1935.8510000000001</v>
      </c>
      <c r="I26" s="37">
        <v>6391.1749999999993</v>
      </c>
      <c r="J26" s="44">
        <v>4210.4534000000003</v>
      </c>
      <c r="K26" s="42">
        <v>7889.585</v>
      </c>
      <c r="L26" s="37">
        <v>7889.585</v>
      </c>
      <c r="M26" s="30"/>
    </row>
    <row r="27" spans="1:13" ht="31.5" x14ac:dyDescent="0.25">
      <c r="A27" s="168"/>
      <c r="B27" s="169"/>
      <c r="C27" s="169"/>
      <c r="D27" s="33" t="s">
        <v>89</v>
      </c>
      <c r="E27" s="37"/>
      <c r="F27" s="109"/>
      <c r="G27" s="43"/>
      <c r="H27" s="37"/>
      <c r="I27" s="37"/>
      <c r="J27" s="44"/>
      <c r="K27" s="42"/>
      <c r="L27" s="37"/>
      <c r="M27" s="30"/>
    </row>
    <row r="28" spans="1:13" ht="18.75" customHeight="1" x14ac:dyDescent="0.25">
      <c r="A28" s="168"/>
      <c r="B28" s="169"/>
      <c r="C28" s="169"/>
      <c r="D28" s="30" t="s">
        <v>63</v>
      </c>
      <c r="E28" s="37">
        <v>200</v>
      </c>
      <c r="F28" s="109">
        <v>200</v>
      </c>
      <c r="G28" s="43"/>
      <c r="H28" s="37"/>
      <c r="I28" s="37"/>
      <c r="J28" s="44"/>
      <c r="K28" s="42"/>
      <c r="L28" s="37"/>
      <c r="M28" s="30"/>
    </row>
    <row r="29" spans="1:13" ht="18.75" customHeight="1" x14ac:dyDescent="0.25">
      <c r="A29" s="168">
        <v>3</v>
      </c>
      <c r="B29" s="169" t="s">
        <v>86</v>
      </c>
      <c r="C29" s="169" t="str">
        <f>'3'!C35</f>
        <v>Организация транспортного обслуживания  на территории Туруханского района</v>
      </c>
      <c r="D29" s="35" t="s">
        <v>66</v>
      </c>
      <c r="E29" s="116">
        <f>SUM(E31:E35)</f>
        <v>94721.1</v>
      </c>
      <c r="F29" s="117">
        <f t="shared" ref="F29:L29" si="3">SUM(F31:F35)</f>
        <v>94460.706969999999</v>
      </c>
      <c r="G29" s="118">
        <f t="shared" si="3"/>
        <v>108721.1</v>
      </c>
      <c r="H29" s="116">
        <f t="shared" si="3"/>
        <v>39199.954089999999</v>
      </c>
      <c r="I29" s="116">
        <f t="shared" si="3"/>
        <v>101926.77472</v>
      </c>
      <c r="J29" s="119">
        <f t="shared" si="3"/>
        <v>91047.031289999984</v>
      </c>
      <c r="K29" s="120">
        <f t="shared" si="3"/>
        <v>93721.1</v>
      </c>
      <c r="L29" s="116">
        <f t="shared" si="3"/>
        <v>93721.1</v>
      </c>
      <c r="M29" s="35"/>
    </row>
    <row r="30" spans="1:13" ht="18.75" customHeight="1" x14ac:dyDescent="0.25">
      <c r="A30" s="168"/>
      <c r="B30" s="169"/>
      <c r="C30" s="169"/>
      <c r="D30" s="30" t="s">
        <v>65</v>
      </c>
      <c r="E30" s="37"/>
      <c r="F30" s="109"/>
      <c r="G30" s="43"/>
      <c r="H30" s="37"/>
      <c r="I30" s="37"/>
      <c r="J30" s="44"/>
      <c r="K30" s="42"/>
      <c r="L30" s="37"/>
      <c r="M30" s="30"/>
    </row>
    <row r="31" spans="1:13" ht="18.75" customHeight="1" x14ac:dyDescent="0.25">
      <c r="A31" s="168"/>
      <c r="B31" s="169"/>
      <c r="C31" s="169"/>
      <c r="D31" s="34" t="s">
        <v>87</v>
      </c>
      <c r="E31" s="37"/>
      <c r="F31" s="109"/>
      <c r="G31" s="43"/>
      <c r="H31" s="37"/>
      <c r="I31" s="37"/>
      <c r="J31" s="44"/>
      <c r="K31" s="42"/>
      <c r="L31" s="37"/>
      <c r="M31" s="30"/>
    </row>
    <row r="32" spans="1:13" ht="18.75" customHeight="1" x14ac:dyDescent="0.25">
      <c r="A32" s="168"/>
      <c r="B32" s="169"/>
      <c r="C32" s="169"/>
      <c r="D32" s="30" t="s">
        <v>88</v>
      </c>
      <c r="E32" s="37"/>
      <c r="F32" s="109"/>
      <c r="G32" s="43"/>
      <c r="H32" s="37"/>
      <c r="I32" s="37"/>
      <c r="J32" s="44"/>
      <c r="K32" s="42"/>
      <c r="L32" s="37"/>
      <c r="M32" s="30"/>
    </row>
    <row r="33" spans="1:13" ht="18.75" customHeight="1" x14ac:dyDescent="0.25">
      <c r="A33" s="168"/>
      <c r="B33" s="169"/>
      <c r="C33" s="169"/>
      <c r="D33" s="30" t="s">
        <v>64</v>
      </c>
      <c r="E33" s="37">
        <v>94721.1</v>
      </c>
      <c r="F33" s="109">
        <v>94460.706969999999</v>
      </c>
      <c r="G33" s="43">
        <v>108721.1</v>
      </c>
      <c r="H33" s="37">
        <v>39199.954089999999</v>
      </c>
      <c r="I33" s="37">
        <v>101926.77472</v>
      </c>
      <c r="J33" s="44">
        <v>91047.031289999984</v>
      </c>
      <c r="K33" s="42">
        <v>93721.1</v>
      </c>
      <c r="L33" s="37">
        <v>93721.1</v>
      </c>
      <c r="M33" s="30"/>
    </row>
    <row r="34" spans="1:13" ht="31.5" x14ac:dyDescent="0.25">
      <c r="A34" s="168"/>
      <c r="B34" s="169"/>
      <c r="C34" s="169"/>
      <c r="D34" s="33" t="s">
        <v>89</v>
      </c>
      <c r="E34" s="37"/>
      <c r="F34" s="109"/>
      <c r="G34" s="43"/>
      <c r="H34" s="37"/>
      <c r="I34" s="37"/>
      <c r="J34" s="44"/>
      <c r="K34" s="42"/>
      <c r="L34" s="37"/>
      <c r="M34" s="30"/>
    </row>
    <row r="35" spans="1:13" ht="18.75" customHeight="1" x14ac:dyDescent="0.25">
      <c r="A35" s="168"/>
      <c r="B35" s="169"/>
      <c r="C35" s="169"/>
      <c r="D35" s="30" t="s">
        <v>63</v>
      </c>
      <c r="E35" s="37"/>
      <c r="F35" s="109"/>
      <c r="G35" s="43"/>
      <c r="H35" s="37"/>
      <c r="I35" s="37"/>
      <c r="J35" s="44"/>
      <c r="K35" s="42"/>
      <c r="L35" s="37"/>
      <c r="M35" s="30"/>
    </row>
    <row r="36" spans="1:13" ht="18.75" customHeight="1" x14ac:dyDescent="0.25">
      <c r="A36" s="168">
        <v>4</v>
      </c>
      <c r="B36" s="169" t="s">
        <v>117</v>
      </c>
      <c r="C36" s="169" t="str">
        <f>'3'!C44</f>
        <v>Безопасность дорожного движения в Туруханском районе</v>
      </c>
      <c r="D36" s="35" t="s">
        <v>66</v>
      </c>
      <c r="E36" s="116">
        <f>SUM(E38:E42)</f>
        <v>558.12400000000002</v>
      </c>
      <c r="F36" s="117">
        <f t="shared" ref="F36:L36" si="4">SUM(F38:F42)</f>
        <v>463.12</v>
      </c>
      <c r="G36" s="118">
        <f t="shared" si="4"/>
        <v>226</v>
      </c>
      <c r="H36" s="116">
        <f t="shared" si="4"/>
        <v>0</v>
      </c>
      <c r="I36" s="116">
        <f t="shared" si="4"/>
        <v>226</v>
      </c>
      <c r="J36" s="119">
        <f t="shared" si="4"/>
        <v>152.5</v>
      </c>
      <c r="K36" s="120">
        <f t="shared" si="4"/>
        <v>0</v>
      </c>
      <c r="L36" s="116">
        <f t="shared" si="4"/>
        <v>0</v>
      </c>
      <c r="M36" s="35"/>
    </row>
    <row r="37" spans="1:13" ht="18.75" customHeight="1" x14ac:dyDescent="0.25">
      <c r="A37" s="168"/>
      <c r="B37" s="169"/>
      <c r="C37" s="169"/>
      <c r="D37" s="30" t="s">
        <v>65</v>
      </c>
      <c r="E37" s="37"/>
      <c r="F37" s="109"/>
      <c r="G37" s="43"/>
      <c r="H37" s="37"/>
      <c r="I37" s="37"/>
      <c r="J37" s="44"/>
      <c r="K37" s="42"/>
      <c r="L37" s="37"/>
      <c r="M37" s="30"/>
    </row>
    <row r="38" spans="1:13" ht="18.75" customHeight="1" x14ac:dyDescent="0.25">
      <c r="A38" s="168"/>
      <c r="B38" s="169"/>
      <c r="C38" s="169"/>
      <c r="D38" s="34" t="s">
        <v>87</v>
      </c>
      <c r="E38" s="37"/>
      <c r="F38" s="109"/>
      <c r="G38" s="43"/>
      <c r="H38" s="37"/>
      <c r="I38" s="37"/>
      <c r="J38" s="44"/>
      <c r="K38" s="42"/>
      <c r="L38" s="37"/>
      <c r="M38" s="30"/>
    </row>
    <row r="39" spans="1:13" ht="18.75" customHeight="1" x14ac:dyDescent="0.25">
      <c r="A39" s="168"/>
      <c r="B39" s="169"/>
      <c r="C39" s="169"/>
      <c r="D39" s="30" t="s">
        <v>88</v>
      </c>
      <c r="E39" s="37">
        <v>237.64</v>
      </c>
      <c r="F39" s="109">
        <v>142.636</v>
      </c>
      <c r="G39" s="43">
        <v>225.5</v>
      </c>
      <c r="H39" s="37">
        <v>0</v>
      </c>
      <c r="I39" s="37">
        <v>225.5</v>
      </c>
      <c r="J39" s="44">
        <v>152</v>
      </c>
      <c r="K39" s="42"/>
      <c r="L39" s="37"/>
      <c r="M39" s="30"/>
    </row>
    <row r="40" spans="1:13" ht="18.75" customHeight="1" x14ac:dyDescent="0.25">
      <c r="A40" s="168"/>
      <c r="B40" s="169"/>
      <c r="C40" s="169"/>
      <c r="D40" s="30" t="s">
        <v>64</v>
      </c>
      <c r="E40" s="37">
        <v>320.48399999999998</v>
      </c>
      <c r="F40" s="109">
        <v>320.48399999999998</v>
      </c>
      <c r="G40" s="43">
        <v>0.5</v>
      </c>
      <c r="H40" s="37">
        <v>0</v>
      </c>
      <c r="I40" s="37">
        <v>0.5</v>
      </c>
      <c r="J40" s="44">
        <v>0.5</v>
      </c>
      <c r="K40" s="42"/>
      <c r="L40" s="37"/>
      <c r="M40" s="30"/>
    </row>
    <row r="41" spans="1:13" ht="31.5" x14ac:dyDescent="0.25">
      <c r="A41" s="168"/>
      <c r="B41" s="169"/>
      <c r="C41" s="169"/>
      <c r="D41" s="33" t="s">
        <v>89</v>
      </c>
      <c r="E41" s="37"/>
      <c r="F41" s="109"/>
      <c r="G41" s="43"/>
      <c r="H41" s="37"/>
      <c r="I41" s="37"/>
      <c r="J41" s="44"/>
      <c r="K41" s="42"/>
      <c r="L41" s="37"/>
      <c r="M41" s="30"/>
    </row>
    <row r="42" spans="1:13" ht="18.75" customHeight="1" x14ac:dyDescent="0.25">
      <c r="A42" s="168"/>
      <c r="B42" s="169"/>
      <c r="C42" s="169"/>
      <c r="D42" s="30" t="s">
        <v>63</v>
      </c>
      <c r="E42" s="37"/>
      <c r="F42" s="109"/>
      <c r="G42" s="43"/>
      <c r="H42" s="37"/>
      <c r="I42" s="37"/>
      <c r="J42" s="44"/>
      <c r="K42" s="42"/>
      <c r="L42" s="37"/>
      <c r="M42" s="30"/>
    </row>
    <row r="43" spans="1:13" ht="18.75" customHeight="1" x14ac:dyDescent="0.25">
      <c r="A43" s="168">
        <v>5</v>
      </c>
      <c r="B43" s="169" t="s">
        <v>118</v>
      </c>
      <c r="C43" s="169" t="str">
        <f>'3'!C53</f>
        <v>Развитие связи на территории Туруханского района</v>
      </c>
      <c r="D43" s="35" t="s">
        <v>66</v>
      </c>
      <c r="E43" s="116">
        <f>SUM(E45:E49)</f>
        <v>10600</v>
      </c>
      <c r="F43" s="117">
        <f t="shared" ref="F43:L43" si="5">SUM(F45:F49)</f>
        <v>9390.4</v>
      </c>
      <c r="G43" s="118">
        <f t="shared" si="5"/>
        <v>10600</v>
      </c>
      <c r="H43" s="116">
        <f t="shared" si="5"/>
        <v>0</v>
      </c>
      <c r="I43" s="116">
        <f t="shared" si="5"/>
        <v>12362.716</v>
      </c>
      <c r="J43" s="119">
        <f t="shared" si="5"/>
        <v>12264.716</v>
      </c>
      <c r="K43" s="120">
        <f t="shared" si="5"/>
        <v>10600</v>
      </c>
      <c r="L43" s="116">
        <f t="shared" si="5"/>
        <v>10600</v>
      </c>
      <c r="M43" s="35"/>
    </row>
    <row r="44" spans="1:13" ht="18.75" customHeight="1" x14ac:dyDescent="0.25">
      <c r="A44" s="168"/>
      <c r="B44" s="169"/>
      <c r="C44" s="169"/>
      <c r="D44" s="30" t="s">
        <v>65</v>
      </c>
      <c r="E44" s="37"/>
      <c r="F44" s="109"/>
      <c r="G44" s="43"/>
      <c r="H44" s="37"/>
      <c r="I44" s="37"/>
      <c r="J44" s="44"/>
      <c r="K44" s="42"/>
      <c r="L44" s="37"/>
      <c r="M44" s="30"/>
    </row>
    <row r="45" spans="1:13" ht="18.75" customHeight="1" x14ac:dyDescent="0.25">
      <c r="A45" s="168"/>
      <c r="B45" s="169"/>
      <c r="C45" s="169"/>
      <c r="D45" s="34" t="s">
        <v>87</v>
      </c>
      <c r="E45" s="37"/>
      <c r="F45" s="109"/>
      <c r="G45" s="43"/>
      <c r="H45" s="37"/>
      <c r="I45" s="37"/>
      <c r="J45" s="44"/>
      <c r="K45" s="42"/>
      <c r="L45" s="37"/>
      <c r="M45" s="30"/>
    </row>
    <row r="46" spans="1:13" ht="18.75" customHeight="1" x14ac:dyDescent="0.25">
      <c r="A46" s="168"/>
      <c r="B46" s="169"/>
      <c r="C46" s="169"/>
      <c r="D46" s="30" t="s">
        <v>88</v>
      </c>
      <c r="E46" s="37"/>
      <c r="F46" s="109"/>
      <c r="G46" s="43"/>
      <c r="H46" s="37"/>
      <c r="I46" s="37">
        <v>2358</v>
      </c>
      <c r="J46" s="44">
        <v>2260</v>
      </c>
      <c r="K46" s="42"/>
      <c r="L46" s="37"/>
      <c r="M46" s="30"/>
    </row>
    <row r="47" spans="1:13" ht="18.75" customHeight="1" x14ac:dyDescent="0.25">
      <c r="A47" s="168"/>
      <c r="B47" s="169"/>
      <c r="C47" s="169"/>
      <c r="D47" s="30" t="s">
        <v>64</v>
      </c>
      <c r="E47" s="37">
        <v>10600</v>
      </c>
      <c r="F47" s="109">
        <v>9390.4</v>
      </c>
      <c r="G47" s="43">
        <v>10600</v>
      </c>
      <c r="H47" s="37">
        <v>0</v>
      </c>
      <c r="I47" s="37">
        <v>10004.716</v>
      </c>
      <c r="J47" s="44">
        <v>10004.716</v>
      </c>
      <c r="K47" s="42">
        <v>10600</v>
      </c>
      <c r="L47" s="37">
        <v>10600</v>
      </c>
      <c r="M47" s="30"/>
    </row>
    <row r="48" spans="1:13" ht="31.5" x14ac:dyDescent="0.25">
      <c r="A48" s="168"/>
      <c r="B48" s="169"/>
      <c r="C48" s="169"/>
      <c r="D48" s="33" t="s">
        <v>89</v>
      </c>
      <c r="E48" s="37"/>
      <c r="F48" s="109"/>
      <c r="G48" s="43"/>
      <c r="H48" s="37"/>
      <c r="I48" s="37"/>
      <c r="J48" s="44"/>
      <c r="K48" s="42"/>
      <c r="L48" s="37"/>
      <c r="M48" s="30"/>
    </row>
    <row r="49" spans="1:13" ht="18.75" customHeight="1" thickBot="1" x14ac:dyDescent="0.3">
      <c r="A49" s="168"/>
      <c r="B49" s="169"/>
      <c r="C49" s="169"/>
      <c r="D49" s="30" t="s">
        <v>63</v>
      </c>
      <c r="E49" s="37"/>
      <c r="F49" s="109"/>
      <c r="G49" s="45"/>
      <c r="H49" s="46"/>
      <c r="I49" s="46"/>
      <c r="J49" s="47"/>
      <c r="K49" s="42"/>
      <c r="L49" s="37"/>
      <c r="M49" s="30"/>
    </row>
    <row r="52" spans="1:13" s="206" customFormat="1" ht="55.5" customHeight="1" x14ac:dyDescent="0.25">
      <c r="A52" s="203" t="s">
        <v>161</v>
      </c>
      <c r="B52" s="203"/>
      <c r="C52" s="203"/>
      <c r="D52" s="203"/>
      <c r="F52" s="205"/>
      <c r="J52" s="204" t="s">
        <v>162</v>
      </c>
    </row>
    <row r="53" spans="1:13" s="206" customFormat="1" x14ac:dyDescent="0.25">
      <c r="A53" s="207"/>
      <c r="B53" s="207"/>
      <c r="C53" s="207"/>
      <c r="D53" s="207"/>
      <c r="F53" s="205"/>
      <c r="J53" s="204"/>
    </row>
    <row r="54" spans="1:13" s="206" customFormat="1" x14ac:dyDescent="0.25">
      <c r="A54" s="207"/>
      <c r="B54" s="207"/>
      <c r="C54" s="207"/>
      <c r="D54" s="207"/>
      <c r="F54" s="205"/>
      <c r="J54" s="204"/>
    </row>
    <row r="55" spans="1:13" s="206" customFormat="1" x14ac:dyDescent="0.25">
      <c r="A55" s="207"/>
      <c r="B55" s="207"/>
      <c r="C55" s="207"/>
      <c r="D55" s="207"/>
      <c r="F55" s="205"/>
      <c r="J55" s="204"/>
    </row>
    <row r="56" spans="1:13" s="206" customFormat="1" x14ac:dyDescent="0.25">
      <c r="A56" s="207"/>
      <c r="B56" s="207"/>
      <c r="C56" s="207"/>
      <c r="D56" s="207"/>
      <c r="F56" s="205"/>
      <c r="J56" s="204"/>
    </row>
    <row r="57" spans="1:13" s="206" customFormat="1" x14ac:dyDescent="0.25">
      <c r="A57" s="207"/>
      <c r="B57" s="207"/>
      <c r="C57" s="207"/>
      <c r="D57" s="207"/>
      <c r="F57" s="205"/>
      <c r="J57" s="204"/>
    </row>
    <row r="58" spans="1:13" s="206" customFormat="1" x14ac:dyDescent="0.25">
      <c r="A58" s="207"/>
      <c r="B58" s="207"/>
      <c r="C58" s="207"/>
      <c r="D58" s="207"/>
      <c r="F58" s="205"/>
      <c r="J58" s="204"/>
    </row>
    <row r="59" spans="1:13" s="206" customFormat="1" x14ac:dyDescent="0.25">
      <c r="A59" s="207"/>
      <c r="B59" s="207"/>
      <c r="C59" s="207"/>
      <c r="D59" s="207"/>
      <c r="F59" s="205"/>
      <c r="J59" s="204"/>
    </row>
    <row r="60" spans="1:13" s="206" customFormat="1" x14ac:dyDescent="0.25">
      <c r="A60" s="207"/>
      <c r="B60" s="207"/>
      <c r="C60" s="207"/>
      <c r="D60" s="207"/>
      <c r="F60" s="205"/>
      <c r="J60" s="204"/>
    </row>
    <row r="61" spans="1:13" s="206" customFormat="1" x14ac:dyDescent="0.25">
      <c r="A61" s="207"/>
      <c r="B61" s="207"/>
      <c r="C61" s="207"/>
      <c r="D61" s="207"/>
      <c r="F61" s="205"/>
      <c r="J61" s="204"/>
    </row>
    <row r="62" spans="1:13" s="206" customFormat="1" x14ac:dyDescent="0.25">
      <c r="A62" s="207"/>
      <c r="B62" s="207"/>
      <c r="C62" s="207"/>
      <c r="D62" s="207"/>
      <c r="F62" s="205"/>
      <c r="J62" s="204"/>
    </row>
    <row r="63" spans="1:13" s="206" customFormat="1" x14ac:dyDescent="0.25">
      <c r="A63" s="207"/>
      <c r="B63" s="207"/>
      <c r="C63" s="207"/>
      <c r="D63" s="207"/>
      <c r="F63" s="205"/>
      <c r="J63" s="204"/>
    </row>
    <row r="64" spans="1:13" s="206" customFormat="1" x14ac:dyDescent="0.25">
      <c r="A64" s="207"/>
      <c r="B64" s="207"/>
      <c r="C64" s="207"/>
      <c r="D64" s="207"/>
      <c r="F64" s="205"/>
      <c r="J64" s="204"/>
    </row>
    <row r="65" spans="1:10" s="206" customFormat="1" x14ac:dyDescent="0.25">
      <c r="A65" s="207"/>
      <c r="B65" s="207"/>
      <c r="C65" s="207"/>
      <c r="D65" s="207"/>
      <c r="F65" s="205"/>
      <c r="J65" s="204"/>
    </row>
    <row r="66" spans="1:10" s="206" customFormat="1" x14ac:dyDescent="0.25">
      <c r="A66" s="207"/>
      <c r="B66" s="207"/>
      <c r="C66" s="207"/>
      <c r="D66" s="207"/>
      <c r="F66" s="205"/>
      <c r="J66" s="204"/>
    </row>
    <row r="67" spans="1:10" s="206" customFormat="1" x14ac:dyDescent="0.25">
      <c r="A67" s="207"/>
      <c r="B67" s="207"/>
      <c r="C67" s="207"/>
      <c r="D67" s="207"/>
      <c r="F67" s="205"/>
      <c r="J67" s="204"/>
    </row>
    <row r="68" spans="1:10" s="206" customFormat="1" x14ac:dyDescent="0.25">
      <c r="A68" s="207"/>
      <c r="B68" s="207"/>
      <c r="C68" s="207"/>
      <c r="D68" s="207"/>
      <c r="F68" s="205"/>
      <c r="J68" s="204"/>
    </row>
    <row r="69" spans="1:10" s="206" customFormat="1" x14ac:dyDescent="0.25">
      <c r="A69" s="207"/>
      <c r="B69" s="207"/>
      <c r="C69" s="207"/>
      <c r="D69" s="207"/>
      <c r="F69" s="205"/>
      <c r="J69" s="204"/>
    </row>
    <row r="70" spans="1:10" s="206" customFormat="1" x14ac:dyDescent="0.25">
      <c r="A70" s="207"/>
      <c r="B70" s="207"/>
      <c r="C70" s="207"/>
      <c r="D70" s="207"/>
      <c r="F70" s="205"/>
      <c r="J70" s="204"/>
    </row>
    <row r="71" spans="1:10" s="206" customFormat="1" x14ac:dyDescent="0.25">
      <c r="A71" s="207"/>
      <c r="B71" s="207"/>
      <c r="C71" s="207"/>
      <c r="D71" s="207"/>
      <c r="F71" s="205"/>
      <c r="J71" s="204"/>
    </row>
    <row r="72" spans="1:10" s="206" customFormat="1" x14ac:dyDescent="0.25">
      <c r="A72" s="207"/>
      <c r="B72" s="207"/>
      <c r="C72" s="207"/>
      <c r="D72" s="207"/>
      <c r="F72" s="205"/>
      <c r="J72" s="204"/>
    </row>
    <row r="73" spans="1:10" s="206" customFormat="1" x14ac:dyDescent="0.25">
      <c r="A73" s="207"/>
      <c r="B73" s="207"/>
      <c r="C73" s="207"/>
      <c r="D73" s="207"/>
      <c r="F73" s="205"/>
      <c r="J73" s="204"/>
    </row>
    <row r="74" spans="1:10" s="206" customFormat="1" x14ac:dyDescent="0.25">
      <c r="A74" s="207"/>
      <c r="B74" s="207"/>
      <c r="C74" s="207"/>
      <c r="D74" s="207"/>
      <c r="F74" s="205"/>
      <c r="J74" s="204"/>
    </row>
    <row r="75" spans="1:10" s="206" customFormat="1" x14ac:dyDescent="0.25">
      <c r="A75" s="207"/>
      <c r="B75" s="207"/>
      <c r="C75" s="207"/>
      <c r="D75" s="207"/>
      <c r="F75" s="205"/>
      <c r="J75" s="204"/>
    </row>
    <row r="76" spans="1:10" s="206" customFormat="1" x14ac:dyDescent="0.25">
      <c r="A76" s="207"/>
      <c r="B76" s="207"/>
      <c r="C76" s="207"/>
      <c r="D76" s="207"/>
      <c r="F76" s="205"/>
      <c r="J76" s="204"/>
    </row>
    <row r="77" spans="1:10" s="206" customFormat="1" x14ac:dyDescent="0.25">
      <c r="A77" s="207"/>
      <c r="B77" s="207"/>
      <c r="C77" s="207"/>
      <c r="D77" s="207"/>
      <c r="F77" s="205"/>
      <c r="J77" s="204"/>
    </row>
    <row r="78" spans="1:10" s="206" customFormat="1" x14ac:dyDescent="0.25">
      <c r="A78" s="207"/>
      <c r="B78" s="207"/>
      <c r="C78" s="207"/>
      <c r="D78" s="207"/>
      <c r="F78" s="205"/>
      <c r="J78" s="204"/>
    </row>
    <row r="79" spans="1:10" s="206" customFormat="1" x14ac:dyDescent="0.25">
      <c r="A79" s="207"/>
      <c r="B79" s="207"/>
      <c r="C79" s="207"/>
      <c r="D79" s="207"/>
      <c r="F79" s="205"/>
      <c r="J79" s="204"/>
    </row>
    <row r="80" spans="1:10" s="206" customFormat="1" x14ac:dyDescent="0.25">
      <c r="A80" s="207"/>
      <c r="B80" s="207"/>
      <c r="C80" s="207"/>
      <c r="D80" s="207"/>
      <c r="F80" s="205"/>
      <c r="J80" s="204"/>
    </row>
    <row r="81" spans="1:12" s="206" customFormat="1" x14ac:dyDescent="0.25">
      <c r="A81" s="207"/>
      <c r="B81" s="207"/>
      <c r="C81" s="207"/>
      <c r="D81" s="207"/>
      <c r="F81" s="205"/>
      <c r="J81" s="204"/>
    </row>
    <row r="82" spans="1:12" s="206" customFormat="1" x14ac:dyDescent="0.25">
      <c r="A82" s="207"/>
      <c r="B82" s="207"/>
      <c r="C82" s="207"/>
      <c r="D82" s="207"/>
      <c r="F82" s="205"/>
      <c r="J82" s="204"/>
    </row>
    <row r="83" spans="1:12" s="206" customFormat="1" x14ac:dyDescent="0.25">
      <c r="A83" s="207"/>
      <c r="B83" s="207"/>
      <c r="C83" s="207"/>
      <c r="D83" s="207"/>
      <c r="F83" s="205"/>
      <c r="J83" s="204"/>
    </row>
    <row r="84" spans="1:12" s="206" customFormat="1" x14ac:dyDescent="0.25">
      <c r="A84" s="207"/>
      <c r="B84" s="207"/>
      <c r="C84" s="207"/>
      <c r="D84" s="207"/>
      <c r="F84" s="205"/>
      <c r="J84" s="204"/>
    </row>
    <row r="86" spans="1:12" x14ac:dyDescent="0.25">
      <c r="A86" s="185" t="str">
        <f>'1'!$A$36</f>
        <v>Моховикова Наталья Леонидовна</v>
      </c>
      <c r="C86" s="185"/>
    </row>
    <row r="87" spans="1:12" x14ac:dyDescent="0.25">
      <c r="A87" s="185" t="str">
        <f>'1'!$A$37</f>
        <v>(39190) 44580</v>
      </c>
      <c r="C87" s="185"/>
    </row>
    <row r="89" spans="1:12" x14ac:dyDescent="0.25">
      <c r="E89" s="27" t="b">
        <f>E15='3'!I17</f>
        <v>1</v>
      </c>
      <c r="F89" s="27" t="b">
        <f>F15='3'!J17</f>
        <v>1</v>
      </c>
      <c r="G89" s="27" t="b">
        <f>G15='3'!K17</f>
        <v>1</v>
      </c>
      <c r="H89" s="27" t="b">
        <f>H15='3'!L17</f>
        <v>1</v>
      </c>
      <c r="I89" s="27" t="b">
        <f>I15='3'!M17</f>
        <v>1</v>
      </c>
      <c r="J89" s="27" t="b">
        <f>J15='3'!N17</f>
        <v>1</v>
      </c>
      <c r="K89" s="27" t="b">
        <f>K15='3'!O17</f>
        <v>1</v>
      </c>
      <c r="L89" s="27" t="b">
        <f>L15='3'!P17</f>
        <v>1</v>
      </c>
    </row>
    <row r="90" spans="1:12" x14ac:dyDescent="0.25">
      <c r="E90" s="27" t="b">
        <f>E22='3'!I26</f>
        <v>1</v>
      </c>
      <c r="F90" s="27" t="b">
        <f>F22='3'!J26</f>
        <v>1</v>
      </c>
      <c r="G90" s="27" t="b">
        <f>G22='3'!K26</f>
        <v>1</v>
      </c>
      <c r="H90" s="27" t="b">
        <f>H22='3'!L26</f>
        <v>1</v>
      </c>
      <c r="I90" s="27" t="b">
        <f>I22='3'!M26</f>
        <v>1</v>
      </c>
      <c r="J90" s="27" t="b">
        <f>J22='3'!N26</f>
        <v>1</v>
      </c>
      <c r="K90" s="27" t="b">
        <f>K22='3'!O26</f>
        <v>1</v>
      </c>
      <c r="L90" s="27" t="b">
        <f>L22='3'!P26</f>
        <v>1</v>
      </c>
    </row>
    <row r="91" spans="1:12" x14ac:dyDescent="0.25">
      <c r="E91" s="27" t="b">
        <f>E29='3'!I35</f>
        <v>1</v>
      </c>
      <c r="F91" s="27" t="b">
        <f>F29='3'!J35</f>
        <v>1</v>
      </c>
      <c r="G91" s="27" t="b">
        <f>G29='3'!K35</f>
        <v>1</v>
      </c>
      <c r="H91" s="27" t="b">
        <f>H29='3'!L35</f>
        <v>1</v>
      </c>
      <c r="I91" s="27" t="b">
        <f>I29='3'!M35</f>
        <v>1</v>
      </c>
      <c r="J91" s="27" t="b">
        <f>J29='3'!N35</f>
        <v>1</v>
      </c>
      <c r="K91" s="27" t="b">
        <f>K29='3'!O35</f>
        <v>1</v>
      </c>
      <c r="L91" s="27" t="b">
        <f>L29='3'!P35</f>
        <v>1</v>
      </c>
    </row>
    <row r="92" spans="1:12" x14ac:dyDescent="0.25">
      <c r="E92" s="27" t="b">
        <f>E36='3'!I44</f>
        <v>1</v>
      </c>
      <c r="F92" s="27" t="b">
        <f>F36='3'!J44</f>
        <v>1</v>
      </c>
      <c r="G92" s="27" t="b">
        <f>G36='3'!K44</f>
        <v>1</v>
      </c>
      <c r="H92" s="27" t="b">
        <f>H36='3'!L44</f>
        <v>1</v>
      </c>
      <c r="I92" s="27" t="b">
        <f>I36='3'!M44</f>
        <v>1</v>
      </c>
      <c r="J92" s="27" t="b">
        <f>J36='3'!N44</f>
        <v>1</v>
      </c>
      <c r="K92" s="27" t="b">
        <f>K36='3'!O44</f>
        <v>1</v>
      </c>
      <c r="L92" s="27" t="b">
        <f>L36='3'!P44</f>
        <v>1</v>
      </c>
    </row>
    <row r="93" spans="1:12" x14ac:dyDescent="0.25">
      <c r="E93" s="27" t="b">
        <f>E43='3'!I53</f>
        <v>1</v>
      </c>
      <c r="F93" s="27" t="b">
        <f>F43='3'!J53</f>
        <v>1</v>
      </c>
      <c r="G93" s="27" t="b">
        <f>G43='3'!K53</f>
        <v>1</v>
      </c>
      <c r="H93" s="27" t="b">
        <f>H43='3'!L53</f>
        <v>1</v>
      </c>
      <c r="I93" s="27" t="b">
        <f>I43='3'!M53</f>
        <v>1</v>
      </c>
      <c r="J93" s="27" t="b">
        <f>J43='3'!N53</f>
        <v>1</v>
      </c>
      <c r="K93" s="27" t="b">
        <f>K43='3'!O53</f>
        <v>1</v>
      </c>
      <c r="L93" s="27" t="b">
        <f>L43='3'!P53</f>
        <v>1</v>
      </c>
    </row>
    <row r="109" spans="1:13" ht="18.75" x14ac:dyDescent="0.3">
      <c r="A109" s="152"/>
      <c r="B109" s="152"/>
      <c r="C109" s="152"/>
      <c r="D109" s="152"/>
      <c r="E109" s="152"/>
      <c r="F109" s="152"/>
      <c r="G109" s="152"/>
      <c r="H109" s="152"/>
      <c r="I109" s="152"/>
      <c r="K109" s="153"/>
      <c r="L109" s="153"/>
      <c r="M109" s="29"/>
    </row>
  </sheetData>
  <mergeCells count="33">
    <mergeCell ref="A52:D52"/>
    <mergeCell ref="A4:M4"/>
    <mergeCell ref="A5:M5"/>
    <mergeCell ref="A6:M6"/>
    <mergeCell ref="A36:A42"/>
    <mergeCell ref="A29:A35"/>
    <mergeCell ref="B29:B35"/>
    <mergeCell ref="G11:J11"/>
    <mergeCell ref="C29:C35"/>
    <mergeCell ref="B36:B42"/>
    <mergeCell ref="C36:C42"/>
    <mergeCell ref="K109:L109"/>
    <mergeCell ref="A8:M8"/>
    <mergeCell ref="A7:M7"/>
    <mergeCell ref="A109:I109"/>
    <mergeCell ref="K11:L12"/>
    <mergeCell ref="M11:M13"/>
    <mergeCell ref="G12:H12"/>
    <mergeCell ref="I12:J12"/>
    <mergeCell ref="A15:A21"/>
    <mergeCell ref="B15:B21"/>
    <mergeCell ref="C15:C21"/>
    <mergeCell ref="A11:A13"/>
    <mergeCell ref="B11:B13"/>
    <mergeCell ref="C11:C13"/>
    <mergeCell ref="D11:D13"/>
    <mergeCell ref="E11:F12"/>
    <mergeCell ref="A43:A49"/>
    <mergeCell ref="B43:B49"/>
    <mergeCell ref="C43:C49"/>
    <mergeCell ref="A22:A28"/>
    <mergeCell ref="B22:B28"/>
    <mergeCell ref="C22:C28"/>
  </mergeCells>
  <pageMargins left="0.78740157480314965" right="0.78740157480314965" top="1.1811023622047245" bottom="0.28999999999999998" header="0.31496062992125984" footer="0.31496062992125984"/>
  <pageSetup paperSize="9" scale="59" fitToHeight="0" orientation="landscape" horizontalDpi="0" verticalDpi="0" r:id="rId1"/>
  <rowBreaks count="1" manualBreakCount="1">
    <brk id="4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5"/>
  <sheetViews>
    <sheetView view="pageBreakPreview" topLeftCell="A19" zoomScale="60" zoomScaleNormal="100" workbookViewId="0">
      <selection activeCell="I16" sqref="I16"/>
    </sheetView>
  </sheetViews>
  <sheetFormatPr defaultRowHeight="15" x14ac:dyDescent="0.25"/>
  <cols>
    <col min="1" max="1" width="56.5703125" style="186" customWidth="1"/>
    <col min="2" max="2" width="20.42578125" style="186" customWidth="1"/>
    <col min="3" max="3" width="15.7109375" style="186" customWidth="1"/>
    <col min="4" max="4" width="14.5703125" style="186" customWidth="1"/>
    <col min="5" max="5" width="22.7109375" style="186" customWidth="1"/>
    <col min="6" max="6" width="33.140625" style="186" customWidth="1"/>
    <col min="7" max="7" width="16.42578125" style="186" customWidth="1"/>
    <col min="8" max="16384" width="9.140625" style="186"/>
  </cols>
  <sheetData>
    <row r="1" spans="1:5" x14ac:dyDescent="0.25">
      <c r="D1" s="187" t="s">
        <v>175</v>
      </c>
      <c r="E1" s="187"/>
    </row>
    <row r="4" spans="1:5" ht="30.75" customHeight="1" x14ac:dyDescent="0.25">
      <c r="A4" s="188" t="s">
        <v>0</v>
      </c>
      <c r="B4" s="188"/>
      <c r="C4" s="188"/>
      <c r="D4" s="188"/>
      <c r="E4" s="188"/>
    </row>
    <row r="5" spans="1:5" x14ac:dyDescent="0.25">
      <c r="A5" s="189"/>
      <c r="B5" s="189"/>
      <c r="C5" s="189"/>
      <c r="D5" s="189"/>
      <c r="E5" s="189"/>
    </row>
    <row r="6" spans="1:5" x14ac:dyDescent="0.25">
      <c r="A6" s="190" t="s">
        <v>1</v>
      </c>
      <c r="B6" s="190" t="s">
        <v>2</v>
      </c>
      <c r="C6" s="190"/>
      <c r="D6" s="190"/>
      <c r="E6" s="190" t="s">
        <v>187</v>
      </c>
    </row>
    <row r="7" spans="1:5" ht="90" x14ac:dyDescent="0.25">
      <c r="A7" s="190"/>
      <c r="B7" s="191" t="s">
        <v>3</v>
      </c>
      <c r="C7" s="191" t="s">
        <v>4</v>
      </c>
      <c r="D7" s="191" t="s">
        <v>5</v>
      </c>
      <c r="E7" s="190"/>
    </row>
    <row r="8" spans="1:5" x14ac:dyDescent="0.25">
      <c r="A8" s="192">
        <v>1</v>
      </c>
      <c r="B8" s="192">
        <v>2</v>
      </c>
      <c r="C8" s="192">
        <v>3</v>
      </c>
      <c r="D8" s="192">
        <v>4</v>
      </c>
      <c r="E8" s="192" t="s">
        <v>8</v>
      </c>
    </row>
    <row r="9" spans="1:5" ht="15.75" x14ac:dyDescent="0.25">
      <c r="A9" s="193" t="s">
        <v>6</v>
      </c>
      <c r="B9" s="194">
        <f>B10+B16+B20+B24</f>
        <v>155455.69513999997</v>
      </c>
      <c r="C9" s="194">
        <f>C10+C16+C20+C24</f>
        <v>2979.3456499999984</v>
      </c>
      <c r="D9" s="194">
        <f>D10+D16+D20+D24</f>
        <v>169314.76572000002</v>
      </c>
      <c r="E9" s="195">
        <f>(B9+C9)/D9</f>
        <v>0.93574261002143122</v>
      </c>
    </row>
    <row r="10" spans="1:5" ht="47.25" x14ac:dyDescent="0.25">
      <c r="A10" s="196" t="str">
        <f>CONCATENATE("Подпрограмма 1",". ",'3'!C26)</f>
        <v>Подпрограмма 1. Развитие транспортного комплекса, обеспечение сохранности и модернизации автомобильных дорог Туруханского района</v>
      </c>
      <c r="B10" s="197">
        <f>SUM(B11:B15)</f>
        <v>51991.447849999997</v>
      </c>
      <c r="C10" s="197">
        <f>SUM(C11:C15)</f>
        <v>2807.8271500000001</v>
      </c>
      <c r="D10" s="197">
        <f>SUM(D11:D15)</f>
        <v>54799.275000000009</v>
      </c>
      <c r="E10" s="198">
        <f t="shared" ref="E10:E26" si="0">(B10+C10)/D10</f>
        <v>0.99999999999999978</v>
      </c>
    </row>
    <row r="11" spans="1:5" ht="47.25" x14ac:dyDescent="0.25">
      <c r="A11" s="199" t="s">
        <v>131</v>
      </c>
      <c r="B11" s="200">
        <v>29992.9</v>
      </c>
      <c r="C11" s="200">
        <f>D11-B11</f>
        <v>0</v>
      </c>
      <c r="D11" s="200">
        <v>29992.9</v>
      </c>
      <c r="E11" s="201">
        <f t="shared" si="0"/>
        <v>1</v>
      </c>
    </row>
    <row r="12" spans="1:5" ht="63" x14ac:dyDescent="0.25">
      <c r="A12" s="199" t="s">
        <v>132</v>
      </c>
      <c r="B12" s="200">
        <v>17788.094450000001</v>
      </c>
      <c r="C12" s="200">
        <f t="shared" ref="C12:C15" si="1">D12-B12</f>
        <v>627.10555000000022</v>
      </c>
      <c r="D12" s="200">
        <v>18415.2</v>
      </c>
      <c r="E12" s="201">
        <f t="shared" si="0"/>
        <v>1</v>
      </c>
    </row>
    <row r="13" spans="1:5" ht="47.25" x14ac:dyDescent="0.25">
      <c r="A13" s="199" t="s">
        <v>133</v>
      </c>
      <c r="B13" s="200">
        <v>2839.0893999999998</v>
      </c>
      <c r="C13" s="200">
        <f t="shared" si="1"/>
        <v>1016.3316</v>
      </c>
      <c r="D13" s="200">
        <v>3855.4209999999998</v>
      </c>
      <c r="E13" s="201">
        <f t="shared" si="0"/>
        <v>1</v>
      </c>
    </row>
    <row r="14" spans="1:5" ht="47.25" x14ac:dyDescent="0.25">
      <c r="A14" s="199" t="s">
        <v>134</v>
      </c>
      <c r="B14" s="200">
        <v>1371.364</v>
      </c>
      <c r="C14" s="200">
        <f t="shared" si="1"/>
        <v>867.39100000000008</v>
      </c>
      <c r="D14" s="200">
        <v>2238.7550000000001</v>
      </c>
      <c r="E14" s="201">
        <f t="shared" si="0"/>
        <v>1</v>
      </c>
    </row>
    <row r="15" spans="1:5" ht="47.25" x14ac:dyDescent="0.25">
      <c r="A15" s="199" t="s">
        <v>135</v>
      </c>
      <c r="B15" s="200">
        <v>0</v>
      </c>
      <c r="C15" s="200">
        <f t="shared" si="1"/>
        <v>296.99900000000002</v>
      </c>
      <c r="D15" s="200">
        <v>296.99900000000002</v>
      </c>
      <c r="E15" s="201">
        <f t="shared" si="0"/>
        <v>1</v>
      </c>
    </row>
    <row r="16" spans="1:5" ht="31.5" x14ac:dyDescent="0.25">
      <c r="A16" s="196" t="str">
        <f>CONCATENATE("Подпрограмма 2",". ",'3'!C35)</f>
        <v>Подпрограмма 2. Организация транспортного обслуживания  на территории Туруханского района</v>
      </c>
      <c r="B16" s="197">
        <f>SUM(B17:B19)</f>
        <v>91047.031289999984</v>
      </c>
      <c r="C16" s="197">
        <f>SUM(C17:C19)</f>
        <v>1.8499999998311978E-2</v>
      </c>
      <c r="D16" s="197">
        <f>SUM(D17:D19)</f>
        <v>101926.77472</v>
      </c>
      <c r="E16" s="198">
        <f t="shared" si="0"/>
        <v>0.89325940156659156</v>
      </c>
    </row>
    <row r="17" spans="1:6" ht="31.5" x14ac:dyDescent="0.25">
      <c r="A17" s="199" t="s">
        <v>136</v>
      </c>
      <c r="B17" s="200">
        <v>69361.275069999989</v>
      </c>
      <c r="C17" s="202"/>
      <c r="D17" s="200">
        <v>80241</v>
      </c>
      <c r="E17" s="201">
        <f t="shared" si="0"/>
        <v>0.86441189753367964</v>
      </c>
    </row>
    <row r="18" spans="1:6" ht="47.25" x14ac:dyDescent="0.25">
      <c r="A18" s="199" t="s">
        <v>137</v>
      </c>
      <c r="B18" s="200">
        <v>21480.0815</v>
      </c>
      <c r="C18" s="200">
        <f t="shared" ref="C18:C19" si="2">D18-B18</f>
        <v>1.8499999998311978E-2</v>
      </c>
      <c r="D18" s="200">
        <v>21480.1</v>
      </c>
      <c r="E18" s="201">
        <f t="shared" si="0"/>
        <v>1</v>
      </c>
    </row>
    <row r="19" spans="1:6" ht="31.5" x14ac:dyDescent="0.25">
      <c r="A19" s="199" t="s">
        <v>138</v>
      </c>
      <c r="B19" s="200">
        <v>205.67472000000001</v>
      </c>
      <c r="C19" s="200">
        <f t="shared" si="2"/>
        <v>0</v>
      </c>
      <c r="D19" s="200">
        <v>205.67472000000001</v>
      </c>
      <c r="E19" s="201">
        <f t="shared" si="0"/>
        <v>1</v>
      </c>
    </row>
    <row r="20" spans="1:6" ht="31.5" x14ac:dyDescent="0.25">
      <c r="A20" s="196" t="str">
        <f>CONCATENATE("Подпрограмма 3",". ",'3'!C44)</f>
        <v>Подпрограмма 3. Безопасность дорожного движения в Туруханском районе</v>
      </c>
      <c r="B20" s="197">
        <f>SUM(B21:B23)</f>
        <v>152.5</v>
      </c>
      <c r="C20" s="197">
        <f>SUM(C21:C23)</f>
        <v>73.5</v>
      </c>
      <c r="D20" s="197">
        <f>SUM(D21:D23)</f>
        <v>226</v>
      </c>
      <c r="E20" s="198">
        <f t="shared" si="0"/>
        <v>1</v>
      </c>
    </row>
    <row r="21" spans="1:6" ht="63" x14ac:dyDescent="0.25">
      <c r="A21" s="199" t="s">
        <v>139</v>
      </c>
      <c r="B21" s="200">
        <v>5</v>
      </c>
      <c r="C21" s="200">
        <f t="shared" ref="C21:C23" si="3">D21-B21</f>
        <v>0</v>
      </c>
      <c r="D21" s="200">
        <v>5</v>
      </c>
      <c r="E21" s="201">
        <f t="shared" si="0"/>
        <v>1</v>
      </c>
    </row>
    <row r="22" spans="1:6" ht="47.25" x14ac:dyDescent="0.25">
      <c r="A22" s="199" t="s">
        <v>140</v>
      </c>
      <c r="B22" s="200">
        <v>147</v>
      </c>
      <c r="C22" s="200">
        <f t="shared" si="3"/>
        <v>73.5</v>
      </c>
      <c r="D22" s="200">
        <v>220.5</v>
      </c>
      <c r="E22" s="201">
        <f t="shared" si="0"/>
        <v>1</v>
      </c>
    </row>
    <row r="23" spans="1:6" ht="47.25" x14ac:dyDescent="0.25">
      <c r="A23" s="199" t="s">
        <v>141</v>
      </c>
      <c r="B23" s="200">
        <v>0.5</v>
      </c>
      <c r="C23" s="200">
        <f t="shared" si="3"/>
        <v>0</v>
      </c>
      <c r="D23" s="200">
        <v>0.5</v>
      </c>
      <c r="E23" s="201">
        <f t="shared" si="0"/>
        <v>1</v>
      </c>
    </row>
    <row r="24" spans="1:6" ht="31.5" x14ac:dyDescent="0.25">
      <c r="A24" s="196" t="str">
        <f>CONCATENATE("Подпрограмма 4",". ",'3'!C53)</f>
        <v>Подпрограмма 4. Развитие связи на территории Туруханского района</v>
      </c>
      <c r="B24" s="197">
        <f>SUM(B25:B26)</f>
        <v>12264.716</v>
      </c>
      <c r="C24" s="197">
        <f>SUM(C25:C26)</f>
        <v>98</v>
      </c>
      <c r="D24" s="197">
        <f>SUM(D25:D26)</f>
        <v>12362.716</v>
      </c>
      <c r="E24" s="198">
        <f t="shared" si="0"/>
        <v>1</v>
      </c>
    </row>
    <row r="25" spans="1:6" ht="47.25" x14ac:dyDescent="0.25">
      <c r="A25" s="199" t="s">
        <v>143</v>
      </c>
      <c r="B25" s="200">
        <v>2264.7159999999999</v>
      </c>
      <c r="C25" s="200">
        <f t="shared" ref="C25:C26" si="4">D25-B25</f>
        <v>98</v>
      </c>
      <c r="D25" s="200">
        <v>2362.7159999999999</v>
      </c>
      <c r="E25" s="201">
        <f t="shared" si="0"/>
        <v>1</v>
      </c>
    </row>
    <row r="26" spans="1:6" ht="63" x14ac:dyDescent="0.25">
      <c r="A26" s="199" t="s">
        <v>142</v>
      </c>
      <c r="B26" s="200">
        <v>10000</v>
      </c>
      <c r="C26" s="200">
        <f t="shared" si="4"/>
        <v>0</v>
      </c>
      <c r="D26" s="200">
        <v>10000</v>
      </c>
      <c r="E26" s="201">
        <f t="shared" si="0"/>
        <v>1</v>
      </c>
    </row>
    <row r="28" spans="1:6" s="206" customFormat="1" ht="49.5" customHeight="1" x14ac:dyDescent="0.25">
      <c r="A28" s="203" t="s">
        <v>161</v>
      </c>
      <c r="B28" s="203"/>
      <c r="C28" s="203"/>
      <c r="D28" s="203"/>
      <c r="E28" s="204" t="s">
        <v>162</v>
      </c>
      <c r="F28" s="205"/>
    </row>
    <row r="34" spans="1:1" x14ac:dyDescent="0.25">
      <c r="A34" s="185" t="str">
        <f>'1'!$A$36</f>
        <v>Моховикова Наталья Леонидовна</v>
      </c>
    </row>
    <row r="35" spans="1:1" x14ac:dyDescent="0.25">
      <c r="A35" s="185" t="str">
        <f>'1'!$A$37</f>
        <v>(39190) 44580</v>
      </c>
    </row>
  </sheetData>
  <mergeCells count="6">
    <mergeCell ref="A28:D28"/>
    <mergeCell ref="A4:E4"/>
    <mergeCell ref="A6:A7"/>
    <mergeCell ref="B6:D6"/>
    <mergeCell ref="E6:E7"/>
    <mergeCell ref="D1:E1"/>
  </mergeCells>
  <pageMargins left="0.78740157480314965" right="0.78740157480314965" top="1.1811023622047245" bottom="0.56999999999999995" header="0.31496062992125984" footer="0.17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view="pageBreakPreview" topLeftCell="A13" zoomScale="115" zoomScaleNormal="100" zoomScaleSheetLayoutView="115" workbookViewId="0">
      <selection activeCell="X34" sqref="X34"/>
    </sheetView>
  </sheetViews>
  <sheetFormatPr defaultRowHeight="15" x14ac:dyDescent="0.25"/>
  <cols>
    <col min="1" max="1" width="56.42578125" style="1" customWidth="1"/>
    <col min="2" max="2" width="10.42578125" style="1" customWidth="1"/>
    <col min="3" max="4" width="10.85546875" style="1" customWidth="1"/>
    <col min="5" max="5" width="20.85546875" style="1" customWidth="1"/>
    <col min="6" max="6" width="14.85546875" style="1" customWidth="1"/>
    <col min="7" max="7" width="16" style="1" customWidth="1"/>
    <col min="8" max="16384" width="9.140625" style="1"/>
  </cols>
  <sheetData>
    <row r="1" spans="1:7" x14ac:dyDescent="0.25">
      <c r="E1" s="2"/>
      <c r="F1" s="101" t="s">
        <v>176</v>
      </c>
      <c r="G1" s="2"/>
    </row>
    <row r="2" spans="1:7" x14ac:dyDescent="0.25">
      <c r="F2" s="2"/>
      <c r="G2" s="9"/>
    </row>
    <row r="3" spans="1:7" x14ac:dyDescent="0.25">
      <c r="F3" s="8"/>
      <c r="G3" s="9"/>
    </row>
    <row r="4" spans="1:7" ht="46.5" customHeight="1" x14ac:dyDescent="0.25">
      <c r="A4" s="170" t="s">
        <v>20</v>
      </c>
      <c r="B4" s="170"/>
      <c r="C4" s="170"/>
      <c r="D4" s="170"/>
      <c r="E4" s="170"/>
      <c r="F4" s="170"/>
      <c r="G4" s="170"/>
    </row>
    <row r="5" spans="1:7" x14ac:dyDescent="0.25">
      <c r="A5" s="2"/>
      <c r="B5" s="2"/>
      <c r="C5" s="2"/>
      <c r="D5" s="2"/>
      <c r="E5" s="2"/>
      <c r="F5" s="2"/>
      <c r="G5" s="2"/>
    </row>
    <row r="6" spans="1:7" ht="93" customHeight="1" x14ac:dyDescent="0.25">
      <c r="A6" s="171" t="s">
        <v>30</v>
      </c>
      <c r="B6" s="171" t="s">
        <v>9</v>
      </c>
      <c r="C6" s="174" t="s">
        <v>21</v>
      </c>
      <c r="D6" s="175"/>
      <c r="E6" s="176" t="s">
        <v>22</v>
      </c>
      <c r="F6" s="178" t="s">
        <v>23</v>
      </c>
      <c r="G6" s="180" t="s">
        <v>28</v>
      </c>
    </row>
    <row r="7" spans="1:7" x14ac:dyDescent="0.25">
      <c r="A7" s="171"/>
      <c r="B7" s="171"/>
      <c r="C7" s="3" t="s">
        <v>10</v>
      </c>
      <c r="D7" s="4" t="s">
        <v>11</v>
      </c>
      <c r="E7" s="177"/>
      <c r="F7" s="179"/>
      <c r="G7" s="180"/>
    </row>
    <row r="8" spans="1:7" x14ac:dyDescent="0.25">
      <c r="A8" s="6">
        <v>1</v>
      </c>
      <c r="B8" s="6">
        <f>A8+1</f>
        <v>2</v>
      </c>
      <c r="C8" s="6">
        <f t="shared" ref="C8:G8" si="0">B8+1</f>
        <v>3</v>
      </c>
      <c r="D8" s="6">
        <f t="shared" si="0"/>
        <v>4</v>
      </c>
      <c r="E8" s="6">
        <f t="shared" si="0"/>
        <v>5</v>
      </c>
      <c r="F8" s="6">
        <f t="shared" si="0"/>
        <v>6</v>
      </c>
      <c r="G8" s="6">
        <f t="shared" si="0"/>
        <v>7</v>
      </c>
    </row>
    <row r="9" spans="1:7" s="17" customFormat="1" ht="14.25" x14ac:dyDescent="0.2">
      <c r="A9" s="20" t="s">
        <v>6</v>
      </c>
      <c r="B9" s="21" t="s">
        <v>12</v>
      </c>
      <c r="C9" s="21" t="s">
        <v>12</v>
      </c>
      <c r="D9" s="21" t="s">
        <v>12</v>
      </c>
      <c r="E9" s="21" t="s">
        <v>12</v>
      </c>
      <c r="F9" s="21" t="s">
        <v>12</v>
      </c>
      <c r="G9" s="130">
        <f>AVERAGE(F10:F14)</f>
        <v>0.84676225658212112</v>
      </c>
    </row>
    <row r="10" spans="1:7" ht="24" customHeight="1" x14ac:dyDescent="0.25">
      <c r="A10" s="172" t="str">
        <f>'2'!B15</f>
        <v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v>
      </c>
      <c r="B10" s="23" t="str">
        <f>'2'!C15</f>
        <v>км</v>
      </c>
      <c r="C10" s="23">
        <f>'2'!I15</f>
        <v>129.14699999999999</v>
      </c>
      <c r="D10" s="23">
        <f>'2'!J15</f>
        <v>156.34</v>
      </c>
      <c r="E10" s="23" t="s">
        <v>144</v>
      </c>
      <c r="F10" s="24">
        <f t="shared" ref="F10:F14" si="1">IF(AND(C10=0,D10=0),1,IF(E10="нет или увеличение",IF(D10/C10&gt;1,1,D10/C10),IF(E10="снижение",IF(D10=0,1,IF(C10/D10&gt;1,1,C10/D10)))))</f>
        <v>1</v>
      </c>
      <c r="G10" s="5" t="s">
        <v>12</v>
      </c>
    </row>
    <row r="11" spans="1:7" ht="24" customHeight="1" x14ac:dyDescent="0.25">
      <c r="A11" s="173"/>
      <c r="B11" s="23" t="str">
        <f>'2'!C16</f>
        <v>%</v>
      </c>
      <c r="C11" s="23">
        <f>'2'!I16</f>
        <v>47.2</v>
      </c>
      <c r="D11" s="23">
        <f>'2'!J16</f>
        <v>57.14</v>
      </c>
      <c r="E11" s="23" t="s">
        <v>144</v>
      </c>
      <c r="F11" s="24">
        <f t="shared" si="1"/>
        <v>1</v>
      </c>
      <c r="G11" s="5" t="s">
        <v>12</v>
      </c>
    </row>
    <row r="12" spans="1:7" ht="30" x14ac:dyDescent="0.25">
      <c r="A12" s="25" t="str">
        <f>'2'!B18</f>
        <v>Транспортная подвижность населения (количество поездок всеми видами транспорта1 / количество жителей)</v>
      </c>
      <c r="B12" s="23" t="str">
        <f>'2'!C18</f>
        <v>поездок / человек</v>
      </c>
      <c r="C12" s="23">
        <f>'2'!I18</f>
        <v>13.016730697732061</v>
      </c>
      <c r="D12" s="23">
        <f>'2'!J18</f>
        <v>11.721278968893298</v>
      </c>
      <c r="E12" s="23" t="s">
        <v>144</v>
      </c>
      <c r="F12" s="24">
        <f t="shared" si="1"/>
        <v>0.9004779495772719</v>
      </c>
      <c r="G12" s="5" t="s">
        <v>12</v>
      </c>
    </row>
    <row r="13" spans="1:7" ht="30" x14ac:dyDescent="0.25">
      <c r="A13" s="25" t="str">
        <f>'2'!B20</f>
        <v xml:space="preserve">Число лиц, погибших в дорожно-транспортных происшествиях </v>
      </c>
      <c r="B13" s="23" t="str">
        <f>'2'!C20</f>
        <v>чел.</v>
      </c>
      <c r="C13" s="23">
        <f>'2'!I20</f>
        <v>1</v>
      </c>
      <c r="D13" s="23">
        <f>'2'!J20</f>
        <v>3</v>
      </c>
      <c r="E13" s="23" t="s">
        <v>145</v>
      </c>
      <c r="F13" s="24">
        <f t="shared" si="1"/>
        <v>0.33333333333333331</v>
      </c>
      <c r="G13" s="5" t="s">
        <v>12</v>
      </c>
    </row>
    <row r="14" spans="1:7" ht="15.75" x14ac:dyDescent="0.25">
      <c r="A14" s="25" t="str">
        <f>'2'!B22</f>
        <v>Количество телефонизированных населенных пунктов</v>
      </c>
      <c r="B14" s="23" t="str">
        <f>'2'!C22</f>
        <v>ед.</v>
      </c>
      <c r="C14" s="23">
        <f>'2'!I22</f>
        <v>8</v>
      </c>
      <c r="D14" s="23">
        <f>'2'!J22</f>
        <v>8</v>
      </c>
      <c r="E14" s="23" t="s">
        <v>144</v>
      </c>
      <c r="F14" s="24">
        <f t="shared" si="1"/>
        <v>1</v>
      </c>
      <c r="G14" s="5" t="s">
        <v>12</v>
      </c>
    </row>
    <row r="16" spans="1:7" s="66" customFormat="1" ht="55.5" customHeight="1" x14ac:dyDescent="0.25">
      <c r="A16" s="184" t="s">
        <v>161</v>
      </c>
      <c r="B16" s="184"/>
      <c r="C16" s="184"/>
      <c r="D16" s="184"/>
      <c r="F16" s="77"/>
      <c r="G16" s="80" t="s">
        <v>162</v>
      </c>
    </row>
    <row r="20" spans="1:1" x14ac:dyDescent="0.25">
      <c r="A20" s="83" t="str">
        <f>'1'!$A$36</f>
        <v>Моховикова Наталья Леонидовна</v>
      </c>
    </row>
    <row r="21" spans="1:1" x14ac:dyDescent="0.25">
      <c r="A21" s="83" t="str">
        <f>'1'!$A$37</f>
        <v>(39190) 44580</v>
      </c>
    </row>
  </sheetData>
  <mergeCells count="9">
    <mergeCell ref="A16:D16"/>
    <mergeCell ref="A10:A11"/>
    <mergeCell ref="A4:G4"/>
    <mergeCell ref="A6:A7"/>
    <mergeCell ref="B6:B7"/>
    <mergeCell ref="C6:D6"/>
    <mergeCell ref="E6:E7"/>
    <mergeCell ref="F6:F7"/>
    <mergeCell ref="G6:G7"/>
  </mergeCells>
  <conditionalFormatting sqref="A10:C10 B11:C11 D10:E11 A12:E14">
    <cfRule type="expression" dxfId="6" priority="1">
      <formula>A10=""</formula>
    </cfRule>
  </conditionalFormatting>
  <pageMargins left="0.78740157480314965" right="0.78740157480314965" top="1.1811023622047245" bottom="0.74803149606299213" header="0.31496062992125984" footer="0.31496062992125984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8"/>
  <sheetViews>
    <sheetView view="pageBreakPreview" topLeftCell="A25" zoomScaleNormal="100" zoomScaleSheetLayoutView="100" workbookViewId="0">
      <selection activeCell="X34" sqref="X34"/>
    </sheetView>
  </sheetViews>
  <sheetFormatPr defaultRowHeight="15" x14ac:dyDescent="0.25"/>
  <cols>
    <col min="1" max="1" width="33.28515625" style="1" customWidth="1"/>
    <col min="2" max="2" width="9.140625" style="1"/>
    <col min="3" max="3" width="10.28515625" style="1" customWidth="1"/>
    <col min="4" max="4" width="9.28515625" style="1" customWidth="1"/>
    <col min="5" max="5" width="15.42578125" style="1" customWidth="1"/>
    <col min="6" max="6" width="8.7109375" style="1" customWidth="1"/>
    <col min="7" max="8" width="26.28515625" style="1" customWidth="1"/>
    <col min="9" max="16384" width="9.140625" style="1"/>
  </cols>
  <sheetData>
    <row r="1" spans="1:8" x14ac:dyDescent="0.25">
      <c r="H1" s="101" t="s">
        <v>177</v>
      </c>
    </row>
    <row r="2" spans="1:8" x14ac:dyDescent="0.25">
      <c r="F2" s="12"/>
      <c r="G2" s="12"/>
      <c r="H2" s="13"/>
    </row>
    <row r="3" spans="1:8" x14ac:dyDescent="0.25">
      <c r="F3" s="12"/>
      <c r="G3" s="12"/>
      <c r="H3" s="13"/>
    </row>
    <row r="4" spans="1:8" ht="46.5" customHeight="1" x14ac:dyDescent="0.25">
      <c r="A4" s="170" t="s">
        <v>32</v>
      </c>
      <c r="B4" s="170"/>
      <c r="C4" s="170"/>
      <c r="D4" s="170"/>
      <c r="E4" s="170"/>
      <c r="F4" s="170"/>
      <c r="G4" s="170"/>
      <c r="H4" s="170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0.5" customHeight="1" x14ac:dyDescent="0.25">
      <c r="A6" s="171" t="s">
        <v>30</v>
      </c>
      <c r="B6" s="171" t="s">
        <v>9</v>
      </c>
      <c r="C6" s="174" t="s">
        <v>24</v>
      </c>
      <c r="D6" s="175"/>
      <c r="E6" s="176" t="s">
        <v>22</v>
      </c>
      <c r="F6" s="178" t="s">
        <v>25</v>
      </c>
      <c r="G6" s="178" t="s">
        <v>29</v>
      </c>
      <c r="H6" s="180" t="s">
        <v>26</v>
      </c>
    </row>
    <row r="7" spans="1:8" ht="102.75" customHeight="1" x14ac:dyDescent="0.25">
      <c r="A7" s="171"/>
      <c r="B7" s="171"/>
      <c r="C7" s="14" t="s">
        <v>10</v>
      </c>
      <c r="D7" s="15" t="s">
        <v>11</v>
      </c>
      <c r="E7" s="177"/>
      <c r="F7" s="179"/>
      <c r="G7" s="179"/>
      <c r="H7" s="180"/>
    </row>
    <row r="8" spans="1:8" x14ac:dyDescent="0.25">
      <c r="A8" s="6">
        <v>1</v>
      </c>
      <c r="B8" s="6">
        <f>A8+1</f>
        <v>2</v>
      </c>
      <c r="C8" s="6">
        <f t="shared" ref="C8:F8" si="0">B8+1</f>
        <v>3</v>
      </c>
      <c r="D8" s="6">
        <f t="shared" si="0"/>
        <v>4</v>
      </c>
      <c r="E8" s="6">
        <f t="shared" si="0"/>
        <v>5</v>
      </c>
      <c r="F8" s="6">
        <f t="shared" si="0"/>
        <v>6</v>
      </c>
      <c r="G8" s="6">
        <f t="shared" ref="G8:H8" si="1">F8+1</f>
        <v>7</v>
      </c>
      <c r="H8" s="6">
        <f t="shared" si="1"/>
        <v>8</v>
      </c>
    </row>
    <row r="9" spans="1:8" s="17" customFormat="1" ht="14.25" x14ac:dyDescent="0.2">
      <c r="A9" s="20" t="s">
        <v>6</v>
      </c>
      <c r="B9" s="21" t="s">
        <v>12</v>
      </c>
      <c r="C9" s="21" t="s">
        <v>12</v>
      </c>
      <c r="D9" s="21" t="s">
        <v>12</v>
      </c>
      <c r="E9" s="21" t="s">
        <v>12</v>
      </c>
      <c r="F9" s="21" t="s">
        <v>12</v>
      </c>
      <c r="G9" s="124">
        <f>(G10*H10+G14*H14+G17*H17+G21*H21)/H9</f>
        <v>0.94452762277776903</v>
      </c>
      <c r="H9" s="22">
        <f>H10+H14+H17+H21</f>
        <v>155455.69513999997</v>
      </c>
    </row>
    <row r="10" spans="1:8" s="17" customFormat="1" ht="103.5" customHeight="1" x14ac:dyDescent="0.2">
      <c r="A10" s="19" t="str">
        <f>CONCATENATE("Всего по подпрограмме 1. ",'3'!C26)</f>
        <v>Всего по подпрограмме 1. Развитие транспортного комплекса, обеспечение сохранности и модернизации автомобильных дорог Туруханского района</v>
      </c>
      <c r="B10" s="18" t="s">
        <v>12</v>
      </c>
      <c r="C10" s="18" t="s">
        <v>12</v>
      </c>
      <c r="D10" s="18" t="s">
        <v>12</v>
      </c>
      <c r="E10" s="18" t="s">
        <v>12</v>
      </c>
      <c r="F10" s="18" t="s">
        <v>12</v>
      </c>
      <c r="G10" s="125">
        <f>AVERAGE(F11:F13)</f>
        <v>1</v>
      </c>
      <c r="H10" s="16">
        <f>'5  ассигнования'!B10</f>
        <v>51991.447849999997</v>
      </c>
    </row>
    <row r="11" spans="1:8" ht="60" x14ac:dyDescent="0.25">
      <c r="A11" s="25" t="str">
        <f>'2'!B25</f>
        <v xml:space="preserve">Протяженность отремонтированных автомобильных дорог общего пользования местного значения </v>
      </c>
      <c r="B11" s="25" t="str">
        <f>'2'!C25</f>
        <v>км</v>
      </c>
      <c r="C11" s="25">
        <f>'2'!I25</f>
        <v>3.7709999999999999</v>
      </c>
      <c r="D11" s="25">
        <f>'2'!J25</f>
        <v>3.7709999999999999</v>
      </c>
      <c r="E11" s="23" t="s">
        <v>144</v>
      </c>
      <c r="F11" s="126">
        <f t="shared" ref="F11:F13" si="2">IF(AND(C11=0,D11=0),1,IF(E11="нет или увеличение",IF(D11/C11&gt;1,1,D11/C11),IF(E11="снижение",IF(D11=0,1,IF(C11/D11&gt;1,1,C11/D11)))))</f>
        <v>1</v>
      </c>
      <c r="G11" s="5" t="s">
        <v>12</v>
      </c>
      <c r="H11" s="5" t="s">
        <v>12</v>
      </c>
    </row>
    <row r="12" spans="1:8" ht="75" x14ac:dyDescent="0.25">
      <c r="A12" s="25" t="str">
        <f>'2'!B26</f>
        <v>Протяженность дорог общего пользования, работы по содержанию которых выполняются в объеме действующих нормативов</v>
      </c>
      <c r="B12" s="25" t="str">
        <f>'2'!C26</f>
        <v>км</v>
      </c>
      <c r="C12" s="25">
        <f>'2'!I26</f>
        <v>273.60000000000002</v>
      </c>
      <c r="D12" s="25">
        <f>'2'!J26</f>
        <v>273.60000000000002</v>
      </c>
      <c r="E12" s="23" t="s">
        <v>144</v>
      </c>
      <c r="F12" s="126">
        <f t="shared" si="2"/>
        <v>1</v>
      </c>
      <c r="G12" s="5" t="s">
        <v>12</v>
      </c>
      <c r="H12" s="5" t="s">
        <v>12</v>
      </c>
    </row>
    <row r="13" spans="1:8" ht="30" x14ac:dyDescent="0.25">
      <c r="A13" s="25" t="str">
        <f>'2'!B27</f>
        <v>Функционирование ледовой переправы</v>
      </c>
      <c r="B13" s="25" t="str">
        <f>'2'!C27</f>
        <v>да - 1, 
нет - 0</v>
      </c>
      <c r="C13" s="25">
        <f>'2'!I27</f>
        <v>1</v>
      </c>
      <c r="D13" s="25">
        <f>'2'!J27</f>
        <v>1</v>
      </c>
      <c r="E13" s="23" t="s">
        <v>144</v>
      </c>
      <c r="F13" s="126">
        <f t="shared" si="2"/>
        <v>1</v>
      </c>
      <c r="G13" s="5" t="s">
        <v>12</v>
      </c>
      <c r="H13" s="5" t="s">
        <v>12</v>
      </c>
    </row>
    <row r="14" spans="1:8" ht="57" x14ac:dyDescent="0.25">
      <c r="A14" s="19" t="str">
        <f>CONCATENATE("Всего по подпрограмме 2. ",'3'!C35)</f>
        <v>Всего по подпрограмме 2. Организация транспортного обслуживания  на территории Туруханского района</v>
      </c>
      <c r="B14" s="18" t="s">
        <v>12</v>
      </c>
      <c r="C14" s="18" t="s">
        <v>12</v>
      </c>
      <c r="D14" s="18" t="s">
        <v>12</v>
      </c>
      <c r="E14" s="18" t="s">
        <v>12</v>
      </c>
      <c r="F14" s="18" t="s">
        <v>12</v>
      </c>
      <c r="G14" s="125">
        <f>AVERAGE(F15:F16)</f>
        <v>0.90604527938342971</v>
      </c>
      <c r="H14" s="16">
        <f>'5  ассигнования'!B16</f>
        <v>91047.031289999984</v>
      </c>
    </row>
    <row r="15" spans="1:8" ht="60" x14ac:dyDescent="0.25">
      <c r="A15" s="25" t="str">
        <f>'2'!B30</f>
        <v>Количество пассажиров, перевезенных внутрирайонными воздушными перевозками на территории Туруханского района</v>
      </c>
      <c r="B15" s="25" t="str">
        <f>'2'!C30</f>
        <v>тыс. чел.</v>
      </c>
      <c r="C15" s="23">
        <f>'2'!I30</f>
        <v>8.3040000000000003</v>
      </c>
      <c r="D15" s="23">
        <f>'2'!J30</f>
        <v>7.5739999999999998</v>
      </c>
      <c r="E15" s="23" t="s">
        <v>144</v>
      </c>
      <c r="F15" s="126">
        <f t="shared" ref="F15:F16" si="3">IF(AND(C15=0,D15=0),1,IF(E15="нет или увеличение",IF(D15/C15&gt;1,1,D15/C15),IF(E15="снижение",IF(D15=0,1,IF(C15/D15&gt;1,1,C15/D15)))))</f>
        <v>0.91209055876685929</v>
      </c>
      <c r="G15" s="5" t="s">
        <v>12</v>
      </c>
      <c r="H15" s="5" t="s">
        <v>12</v>
      </c>
    </row>
    <row r="16" spans="1:8" ht="60" x14ac:dyDescent="0.25">
      <c r="A16" s="25" t="str">
        <f>'2'!B31</f>
        <v>Количество пассажиров, перевезенных автомобильным транспортом на территории Туруханского района</v>
      </c>
      <c r="B16" s="25" t="str">
        <f>'2'!C31</f>
        <v>тыс.чел.</v>
      </c>
      <c r="C16" s="23">
        <f>'2'!I31</f>
        <v>201.76</v>
      </c>
      <c r="D16" s="23">
        <f>'2'!J31</f>
        <v>181.584</v>
      </c>
      <c r="E16" s="23" t="s">
        <v>144</v>
      </c>
      <c r="F16" s="126">
        <f t="shared" si="3"/>
        <v>0.9</v>
      </c>
      <c r="G16" s="5" t="s">
        <v>12</v>
      </c>
      <c r="H16" s="5" t="s">
        <v>12</v>
      </c>
    </row>
    <row r="17" spans="1:8" ht="57" x14ac:dyDescent="0.25">
      <c r="A17" s="19" t="str">
        <f>CONCATENATE("Всего по подпрограмме 3. ",'3'!C44)</f>
        <v>Всего по подпрограмме 3. Безопасность дорожного движения в Туруханском районе</v>
      </c>
      <c r="B17" s="18" t="s">
        <v>12</v>
      </c>
      <c r="C17" s="18" t="s">
        <v>12</v>
      </c>
      <c r="D17" s="18" t="s">
        <v>12</v>
      </c>
      <c r="E17" s="18" t="s">
        <v>12</v>
      </c>
      <c r="F17" s="18" t="s">
        <v>12</v>
      </c>
      <c r="G17" s="125">
        <f>AVERAGE(F18:F20)</f>
        <v>0.54623885685148477</v>
      </c>
      <c r="H17" s="16">
        <f>'5  ассигнования'!B20</f>
        <v>152.5</v>
      </c>
    </row>
    <row r="18" spans="1:8" ht="75" x14ac:dyDescent="0.25">
      <c r="A18" s="25" t="str">
        <f>'2'!B34</f>
        <v xml:space="preserve">Социальный риск (число лиц, погибших в дорожно-транспортных происшествиях, на 100 тыс. населения)
</v>
      </c>
      <c r="B18" s="25" t="str">
        <f>'2'!C34</f>
        <v>человек на 100 тысяч населения</v>
      </c>
      <c r="C18" s="49">
        <f>'2'!I34</f>
        <v>6.1797058460017311</v>
      </c>
      <c r="D18" s="49">
        <f>'2'!J34</f>
        <v>18.589664146734414</v>
      </c>
      <c r="E18" s="23" t="s">
        <v>145</v>
      </c>
      <c r="F18" s="126">
        <f t="shared" ref="F18:F20" si="4">IF(AND(C18=0,D18=0),1,IF(E18="нет или увеличение",IF(D18/C18&gt;1,1,D18/C18),IF(E18="снижение",IF(D18=0,1,IF(C18/D18&gt;1,1,C18/D18)))))</f>
        <v>0.33242697647591984</v>
      </c>
      <c r="G18" s="5" t="s">
        <v>12</v>
      </c>
      <c r="H18" s="5" t="s">
        <v>12</v>
      </c>
    </row>
    <row r="19" spans="1:8" ht="90" x14ac:dyDescent="0.25">
      <c r="A19" s="25" t="str">
        <f>'2'!B35</f>
        <v xml:space="preserve">Транспортный риск (число лиц, погибших в дорожно-транспортных происшествиях, на 10 тыс. транспортных средств)
</v>
      </c>
      <c r="B19" s="25" t="str">
        <f>'2'!C35</f>
        <v>человек на 10 тысяч транспортных средств</v>
      </c>
      <c r="C19" s="49">
        <f>'2'!I35</f>
        <v>2.3092957583201907</v>
      </c>
      <c r="D19" s="49">
        <f>'2'!J35</f>
        <v>7.5395828097511934</v>
      </c>
      <c r="E19" s="23" t="s">
        <v>145</v>
      </c>
      <c r="F19" s="126">
        <f t="shared" si="4"/>
        <v>0.30628959407853462</v>
      </c>
      <c r="G19" s="5" t="s">
        <v>12</v>
      </c>
      <c r="H19" s="5" t="s">
        <v>12</v>
      </c>
    </row>
    <row r="20" spans="1:8" ht="30" x14ac:dyDescent="0.25">
      <c r="A20" s="25" t="str">
        <f>'2'!B36</f>
        <v>Число детей, погибших в дорожно-транспортных происшествиях</v>
      </c>
      <c r="B20" s="25" t="str">
        <f>'2'!C36</f>
        <v xml:space="preserve">человек </v>
      </c>
      <c r="C20" s="49">
        <f>'2'!I36</f>
        <v>0</v>
      </c>
      <c r="D20" s="49">
        <f>'2'!J36</f>
        <v>0</v>
      </c>
      <c r="E20" s="23" t="s">
        <v>145</v>
      </c>
      <c r="F20" s="126">
        <f t="shared" si="4"/>
        <v>1</v>
      </c>
      <c r="G20" s="5" t="s">
        <v>12</v>
      </c>
      <c r="H20" s="5" t="s">
        <v>12</v>
      </c>
    </row>
    <row r="21" spans="1:8" ht="42.75" x14ac:dyDescent="0.25">
      <c r="A21" s="19" t="str">
        <f>CONCATENATE("Всего по подпрограмме 4. ",'3'!C53)</f>
        <v>Всего по подпрограмме 4. Развитие связи на территории Туруханского района</v>
      </c>
      <c r="B21" s="18" t="s">
        <v>12</v>
      </c>
      <c r="C21" s="18" t="s">
        <v>12</v>
      </c>
      <c r="D21" s="18" t="s">
        <v>12</v>
      </c>
      <c r="E21" s="18" t="s">
        <v>12</v>
      </c>
      <c r="F21" s="18" t="s">
        <v>12</v>
      </c>
      <c r="G21" s="125">
        <f>AVERAGE(F22:F22)</f>
        <v>1</v>
      </c>
      <c r="H21" s="16">
        <f>'5  ассигнования'!B24</f>
        <v>12264.716</v>
      </c>
    </row>
    <row r="22" spans="1:8" ht="57" customHeight="1" x14ac:dyDescent="0.25">
      <c r="A22" s="25" t="str">
        <f>'2'!B39</f>
        <v>Количество обслуживаемых  телефонных аппаратов телефонной сети общего пользования, на конец периода</v>
      </c>
      <c r="B22" s="25" t="str">
        <f>'2'!C39</f>
        <v>ед.</v>
      </c>
      <c r="C22" s="49">
        <f>'2'!I39</f>
        <v>615</v>
      </c>
      <c r="D22" s="49">
        <f>'2'!J39</f>
        <v>615</v>
      </c>
      <c r="E22" s="23" t="s">
        <v>144</v>
      </c>
      <c r="F22" s="126">
        <f t="shared" ref="F22" si="5">IF(AND(C22=0,D22=0),1,IF(E22="нет или увеличение",IF(D22/C22&gt;1,1,D22/C22),IF(E22="снижение",IF(D22=0,1,IF(C22/D22&gt;1,1,C22/D22)))))</f>
        <v>1</v>
      </c>
      <c r="G22" s="5" t="s">
        <v>12</v>
      </c>
      <c r="H22" s="5" t="s">
        <v>12</v>
      </c>
    </row>
    <row r="26" spans="1:8" s="66" customFormat="1" ht="55.5" customHeight="1" x14ac:dyDescent="0.25">
      <c r="A26" s="184" t="s">
        <v>161</v>
      </c>
      <c r="B26" s="184"/>
      <c r="C26" s="184"/>
      <c r="D26" s="184"/>
      <c r="F26" s="77"/>
      <c r="H26" s="80" t="s">
        <v>162</v>
      </c>
    </row>
    <row r="37" spans="1:1" x14ac:dyDescent="0.25">
      <c r="A37" s="83" t="str">
        <f>'1'!$A$36</f>
        <v>Моховикова Наталья Леонидовна</v>
      </c>
    </row>
    <row r="38" spans="1:1" x14ac:dyDescent="0.25">
      <c r="A38" s="83" t="str">
        <f>'1'!$A$37</f>
        <v>(39190) 44580</v>
      </c>
    </row>
  </sheetData>
  <mergeCells count="9">
    <mergeCell ref="A26:D26"/>
    <mergeCell ref="A4:H4"/>
    <mergeCell ref="A6:A7"/>
    <mergeCell ref="B6:B7"/>
    <mergeCell ref="C6:D6"/>
    <mergeCell ref="E6:E7"/>
    <mergeCell ref="F6:F7"/>
    <mergeCell ref="H6:H7"/>
    <mergeCell ref="G6:G7"/>
  </mergeCells>
  <conditionalFormatting sqref="A11:E13">
    <cfRule type="expression" dxfId="5" priority="11">
      <formula>A11=""</formula>
    </cfRule>
  </conditionalFormatting>
  <conditionalFormatting sqref="A15:D16">
    <cfRule type="expression" dxfId="4" priority="10">
      <formula>A15=""</formula>
    </cfRule>
  </conditionalFormatting>
  <conditionalFormatting sqref="A18:E20">
    <cfRule type="expression" dxfId="3" priority="9">
      <formula>A18=""</formula>
    </cfRule>
  </conditionalFormatting>
  <conditionalFormatting sqref="A22:D22">
    <cfRule type="expression" dxfId="2" priority="8">
      <formula>A22=""</formula>
    </cfRule>
  </conditionalFormatting>
  <conditionalFormatting sqref="E15:E16">
    <cfRule type="expression" dxfId="1" priority="2">
      <formula>E15=""</formula>
    </cfRule>
  </conditionalFormatting>
  <conditionalFormatting sqref="E22">
    <cfRule type="expression" dxfId="0" priority="1">
      <formula>E22=""</formula>
    </cfRule>
  </conditionalFormatting>
  <pageMargins left="0.78740157480314965" right="0.78740157480314965" top="1.1811023622047245" bottom="0.74803149606299213" header="0.31496062992125984" footer="0.31496062992125984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view="pageBreakPreview" topLeftCell="A13" zoomScale="85" zoomScaleNormal="100" zoomScaleSheetLayoutView="85" workbookViewId="0">
      <selection activeCell="X34" sqref="X34"/>
    </sheetView>
  </sheetViews>
  <sheetFormatPr defaultRowHeight="15" x14ac:dyDescent="0.25"/>
  <cols>
    <col min="1" max="1" width="23.140625" style="1" customWidth="1"/>
    <col min="2" max="3" width="28.42578125" style="1" customWidth="1"/>
    <col min="4" max="4" width="24.7109375" style="1" customWidth="1"/>
    <col min="5" max="5" width="25.85546875" style="1" customWidth="1"/>
    <col min="6" max="16384" width="9.140625" style="1"/>
  </cols>
  <sheetData>
    <row r="1" spans="1:6" x14ac:dyDescent="0.25">
      <c r="E1" s="101" t="s">
        <v>178</v>
      </c>
    </row>
    <row r="2" spans="1:6" x14ac:dyDescent="0.25">
      <c r="D2" s="12"/>
      <c r="E2" s="13"/>
    </row>
    <row r="4" spans="1:6" ht="19.5" customHeight="1" x14ac:dyDescent="0.25">
      <c r="A4" s="170" t="s">
        <v>13</v>
      </c>
      <c r="B4" s="170"/>
      <c r="C4" s="170"/>
      <c r="D4" s="170"/>
      <c r="E4" s="170"/>
    </row>
    <row r="5" spans="1:6" x14ac:dyDescent="0.25">
      <c r="A5" s="2"/>
      <c r="B5" s="2"/>
      <c r="C5" s="2"/>
      <c r="D5" s="2"/>
      <c r="E5" s="2"/>
    </row>
    <row r="6" spans="1:6" x14ac:dyDescent="0.25">
      <c r="A6" s="171" t="s">
        <v>14</v>
      </c>
      <c r="B6" s="171" t="s">
        <v>15</v>
      </c>
      <c r="C6" s="171"/>
      <c r="D6" s="171"/>
      <c r="E6" s="181" t="s">
        <v>16</v>
      </c>
    </row>
    <row r="7" spans="1:6" ht="90" x14ac:dyDescent="0.25">
      <c r="A7" s="171"/>
      <c r="B7" s="3" t="s">
        <v>17</v>
      </c>
      <c r="C7" s="3" t="s">
        <v>27</v>
      </c>
      <c r="D7" s="3" t="s">
        <v>31</v>
      </c>
      <c r="E7" s="181"/>
    </row>
    <row r="8" spans="1:6" x14ac:dyDescent="0.25">
      <c r="A8" s="6">
        <v>1</v>
      </c>
      <c r="B8" s="6">
        <f>A8+1</f>
        <v>2</v>
      </c>
      <c r="C8" s="6">
        <f t="shared" ref="C8:E8" si="0">B8+1</f>
        <v>3</v>
      </c>
      <c r="D8" s="6">
        <f t="shared" si="0"/>
        <v>4</v>
      </c>
      <c r="E8" s="6">
        <f t="shared" si="0"/>
        <v>5</v>
      </c>
    </row>
    <row r="9" spans="1:6" x14ac:dyDescent="0.25">
      <c r="A9" s="10" t="s">
        <v>18</v>
      </c>
      <c r="B9" s="11">
        <f>'5  ассигнования'!E9</f>
        <v>0.93574261002143122</v>
      </c>
      <c r="C9" s="11">
        <f>'6 целевые показатели'!G9</f>
        <v>0.84676225658212112</v>
      </c>
      <c r="D9" s="11">
        <f>'7 показатели результативности'!G9</f>
        <v>0.94452762277776903</v>
      </c>
      <c r="E9" s="127">
        <f>POWER((B9*C9*D9),(1/3))</f>
        <v>0.90791290047960149</v>
      </c>
    </row>
    <row r="10" spans="1:6" ht="15.75" x14ac:dyDescent="0.25">
      <c r="A10" s="7" t="s">
        <v>19</v>
      </c>
      <c r="B10" s="26" t="str">
        <f>IF(B9&gt;=0.9,"Высокая",IF(B9&gt;=0.8,"Средняя",IF(B9&gt;=0.7,"Удовлетворительная","Неудовлетворительная")))</f>
        <v>Высокая</v>
      </c>
      <c r="C10" s="26" t="str">
        <f>IF(C9&gt;=0.9,"Высокая",IF(C9&gt;=0.8,"Средняя",IF(C9&gt;=0.7,"Удовлетворительная","Неудовлетворительная")))</f>
        <v>Средняя</v>
      </c>
      <c r="D10" s="26" t="str">
        <f>IF(D9&gt;=0.9,"Высокая",IF(D9&gt;=0.8,"Средняя",IF(D9&gt;=0.7,"Удовлетворительная","Неудовлетворительная")))</f>
        <v>Высокая</v>
      </c>
      <c r="E10" s="26" t="str">
        <f>IF(OR(ROUND(E9,1)&gt;0.9,ROUND(E9,1)=0.9),"Высокая",IF(OR(E9&gt;0.8,E9=0.8),"Средняя",IF(E9&gt;=0.7,"Удовлетворительная","Неудовлетворительная")))</f>
        <v>Высокая</v>
      </c>
    </row>
    <row r="13" spans="1:6" s="66" customFormat="1" ht="55.5" customHeight="1" x14ac:dyDescent="0.25">
      <c r="A13" s="184" t="s">
        <v>161</v>
      </c>
      <c r="B13" s="184"/>
      <c r="C13" s="184"/>
      <c r="D13" s="184"/>
      <c r="E13" s="80" t="s">
        <v>162</v>
      </c>
      <c r="F13" s="77"/>
    </row>
    <row r="22" spans="1:1" x14ac:dyDescent="0.25">
      <c r="A22" s="83" t="str">
        <f>'1'!$A$36</f>
        <v>Моховикова Наталья Леонидовна</v>
      </c>
    </row>
    <row r="23" spans="1:1" x14ac:dyDescent="0.25">
      <c r="A23" s="83" t="str">
        <f>'1'!$A$37</f>
        <v>(39190) 44580</v>
      </c>
    </row>
  </sheetData>
  <mergeCells count="5">
    <mergeCell ref="A4:E4"/>
    <mergeCell ref="A6:A7"/>
    <mergeCell ref="B6:D6"/>
    <mergeCell ref="E6:E7"/>
    <mergeCell ref="A13:D13"/>
  </mergeCells>
  <pageMargins left="0.78740157480314965" right="0.78740157480314965" top="1.1811023622047245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</vt:lpstr>
      <vt:lpstr>2</vt:lpstr>
      <vt:lpstr>3</vt:lpstr>
      <vt:lpstr>4</vt:lpstr>
      <vt:lpstr>5  ассигнования</vt:lpstr>
      <vt:lpstr>6 целевые показатели</vt:lpstr>
      <vt:lpstr>7 показатели результативности</vt:lpstr>
      <vt:lpstr>8 свод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  ассигнования'!Заголовки_для_печати</vt:lpstr>
      <vt:lpstr>'6 целевые показатели'!Заголовки_для_печати</vt:lpstr>
      <vt:lpstr>'7 показатели результативности'!Заголовки_для_печати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2018-02-19T04:08:26Z</dcterms:modified>
</cp:coreProperties>
</file>